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4955" windowHeight="7335" tabRatio="698" activeTab="3"/>
  </bookViews>
  <sheets>
    <sheet name="Auto Summary" sheetId="17" r:id="rId1"/>
    <sheet name="5b. Historic flexible STOR data" sheetId="16" r:id="rId2"/>
    <sheet name="Table 10.2" sheetId="18" r:id="rId3"/>
    <sheet name="Table 10.4" sheetId="19" r:id="rId4"/>
  </sheets>
  <externalReferences>
    <externalReference r:id="rId5"/>
    <externalReference r:id="rId6"/>
    <externalReference r:id="rId7"/>
    <externalReference r:id="rId8"/>
  </externalReferences>
  <definedNames>
    <definedName name="BM_AVAIL" localSheetId="1">OFFSET('[1]1c'!$E$7,0,0,'[1]1c'!$D$2,1)</definedName>
    <definedName name="BM_AVAIL">OFFSET(#REF!,0,0,#REF!,1)</definedName>
    <definedName name="BM_UNAVAIL" localSheetId="1">OFFSET('[1]1c'!$I$7,0,0,'[1]1c'!$D$2,1)</definedName>
    <definedName name="BM_UNAVAIL">OFFSET(#REF!,0,0,#REF!,1)</definedName>
    <definedName name="CostSQL">[2]Cost!#REF!</definedName>
    <definedName name="END_DATE">[3]Control!$C$6</definedName>
    <definedName name="END_DATE_VAR">[4]Settings!#REF!</definedName>
    <definedName name="F_ACCEPT_AVAIL" localSheetId="1">OFFSET('[1]1c'!$G$7,0,0,'[1]1c'!$D$2,1)</definedName>
    <definedName name="F_ACCEPT_AVAIL">OFFSET(#REF!,0,0,#REF!,1)</definedName>
    <definedName name="F_REJECT" localSheetId="1">OFFSET('[1]1c'!$H$7,0,0,'[1]1c'!$D$2,1)</definedName>
    <definedName name="F_REJECT">OFFSET(#REF!,0,0,#REF!,1)</definedName>
    <definedName name="F_UNAVAIL" localSheetId="1">OFFSET('[1]1c'!$K$7,0,0,'[1]1c'!$D$2,1)</definedName>
    <definedName name="F_UNAVAIL">OFFSET(#REF!,0,0,#REF!,1)</definedName>
    <definedName name="NBM_C_AVAIL" localSheetId="1">OFFSET('[1]1c'!$F$7,0,0,'[1]1c'!$D$2,1)</definedName>
    <definedName name="NBM_C_AVAIL">OFFSET(#REF!,0,0,#REF!,1)</definedName>
    <definedName name="NBM_C_UNAVAIL" localSheetId="1">OFFSET('[1]1c'!$J$7,0,0,'[1]1c'!$D$2,1)</definedName>
    <definedName name="NBM_C_UNAVAIL">OFFSET(#REF!,0,0,#REF!,1)</definedName>
    <definedName name="_xlnm.Print_Area" localSheetId="0">'Auto Summary'!$A$1:$D$55</definedName>
    <definedName name="START_DATE">[3]Control!$C$5</definedName>
    <definedName name="START_DATE_VAR">[4]Settings!#REF!</definedName>
    <definedName name="START_MTH">[3]Control!$C$7</definedName>
    <definedName name="XaxisRange" localSheetId="1">OFFSET('[1]1c'!$B$7,0,0,'[1]1c'!$D$2,3)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C54" i="17" l="1"/>
  <c r="D53" i="17"/>
  <c r="D52" i="17"/>
  <c r="D50" i="17"/>
  <c r="D49" i="17"/>
  <c r="D47" i="17"/>
  <c r="D46" i="17"/>
  <c r="D44" i="17"/>
  <c r="D43" i="17"/>
  <c r="D41" i="17"/>
  <c r="D40" i="17"/>
  <c r="C38" i="17"/>
  <c r="D37" i="17"/>
  <c r="C36" i="17"/>
  <c r="C35" i="17"/>
  <c r="C34" i="17"/>
  <c r="C33" i="17"/>
  <c r="C32" i="17"/>
  <c r="C31" i="17"/>
  <c r="C30" i="17"/>
  <c r="C29" i="17"/>
  <c r="C28" i="17"/>
  <c r="D27" i="17"/>
  <c r="D26" i="17"/>
  <c r="C25" i="17"/>
  <c r="D24" i="17"/>
  <c r="C23" i="17"/>
  <c r="D22" i="17"/>
  <c r="C21" i="17"/>
  <c r="D20" i="17"/>
  <c r="C19" i="17"/>
  <c r="C18" i="17"/>
  <c r="C17" i="17"/>
  <c r="C15" i="17"/>
  <c r="C14" i="17"/>
  <c r="H1" i="17" s="1"/>
  <c r="D13" i="17"/>
  <c r="D12" i="17"/>
  <c r="D10" i="17"/>
  <c r="C9" i="17"/>
  <c r="D8" i="17"/>
  <c r="D7" i="17"/>
  <c r="C5" i="17"/>
  <c r="C4" i="17"/>
  <c r="G1" i="17" s="1"/>
  <c r="D3" i="17"/>
  <c r="D2" i="17"/>
  <c r="C55" i="17" l="1"/>
  <c r="C58" i="17" s="1"/>
  <c r="AG30" i="16"/>
  <c r="AG31" i="16" s="1"/>
  <c r="AG32" i="16" s="1"/>
  <c r="AG33" i="16" s="1"/>
  <c r="AG34" i="16" s="1"/>
  <c r="AG35" i="16" s="1"/>
  <c r="AG36" i="16" s="1"/>
  <c r="AG37" i="16" s="1"/>
  <c r="AG38" i="16" s="1"/>
  <c r="AG39" i="16" s="1"/>
  <c r="AG40" i="16" s="1"/>
  <c r="AG41" i="16" s="1"/>
  <c r="AG42" i="16" s="1"/>
  <c r="AG43" i="16" s="1"/>
  <c r="AG44" i="16" s="1"/>
  <c r="AG45" i="16" s="1"/>
  <c r="AG46" i="16" s="1"/>
  <c r="AG47" i="16" s="1"/>
  <c r="AG48" i="16" s="1"/>
  <c r="AG49" i="16" s="1"/>
  <c r="AG50" i="16" s="1"/>
  <c r="AG51" i="16" s="1"/>
  <c r="AG52" i="16" s="1"/>
  <c r="AG53" i="16" s="1"/>
  <c r="AG54" i="16" s="1"/>
  <c r="AG55" i="16" s="1"/>
  <c r="AG6" i="16"/>
  <c r="AG7" i="16" s="1"/>
  <c r="AG8" i="16" s="1"/>
  <c r="AG9" i="16" s="1"/>
  <c r="AG10" i="16" s="1"/>
  <c r="AG11" i="16" s="1"/>
  <c r="AG12" i="16" s="1"/>
  <c r="AG13" i="16" s="1"/>
  <c r="AG14" i="16" s="1"/>
  <c r="AG15" i="16" s="1"/>
  <c r="AG16" i="16" s="1"/>
  <c r="AG17" i="16" s="1"/>
  <c r="AG18" i="16" s="1"/>
  <c r="AG19" i="16" s="1"/>
  <c r="AG20" i="16" s="1"/>
  <c r="AG21" i="16" s="1"/>
  <c r="AG22" i="16" s="1"/>
  <c r="AG23" i="16" s="1"/>
  <c r="AG24" i="16" s="1"/>
  <c r="AG25" i="16" s="1"/>
  <c r="AG5" i="16"/>
  <c r="C57" i="17" l="1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<sst xmlns="http://schemas.openxmlformats.org/spreadsheetml/2006/main" count="862" uniqueCount="704">
  <si>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</si>
  <si>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</si>
  <si>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</si>
  <si>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</si>
  <si>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</si>
  <si>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</si>
  <si>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</si>
  <si>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</si>
  <si>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</si>
  <si>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</si>
  <si>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</si>
  <si>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</si>
  <si>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</si>
  <si>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</si>
  <si>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</si>
  <si>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</si>
  <si>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</si>
  <si>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</si>
  <si>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</si>
  <si>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</si>
  <si>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</si>
  <si>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</si>
  <si>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</si>
  <si>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</si>
  <si>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</si>
  <si>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</si>
  <si>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</si>
  <si>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</si>
  <si>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</si>
  <si>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</si>
  <si>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</si>
  <si>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</si>
  <si>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</si>
  <si>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</si>
  <si>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</si>
  <si>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</si>
  <si>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</si>
  <si>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</si>
  <si>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</si>
  <si>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</si>
  <si>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</si>
  <si>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</si>
  <si>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</si>
  <si>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</si>
  <si>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</si>
  <si>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</si>
  <si>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</si>
  <si>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</si>
  <si>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</si>
  <si>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</si>
  <si>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</si>
  <si>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</si>
  <si>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</si>
  <si>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</si>
  <si>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</si>
  <si>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</si>
  <si>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</si>
  <si>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</si>
  <si>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</si>
  <si>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</si>
  <si>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</si>
  <si>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</si>
  <si>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</si>
  <si>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</si>
  <si>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</si>
  <si>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</si>
  <si>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</si>
  <si>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</si>
  <si>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</si>
  <si>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</si>
  <si>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</si>
  <si>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</si>
  <si>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</si>
  <si>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</si>
  <si>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</si>
  <si>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</si>
  <si>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</si>
  <si>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</si>
  <si>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</si>
  <si>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</si>
  <si>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</si>
  <si>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</si>
  <si>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</si>
  <si>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</si>
  <si>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</si>
  <si>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</si>
  <si>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</si>
  <si>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</si>
  <si>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</si>
  <si>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</si>
  <si>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</si>
  <si>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</si>
  <si>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</si>
  <si>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</si>
  <si>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</si>
  <si>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</si>
  <si>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</si>
  <si>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</si>
  <si>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</si>
  <si>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</si>
  <si>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</si>
  <si>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</si>
  <si>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</si>
  <si>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</si>
  <si>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</si>
  <si>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</si>
  <si>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</si>
  <si>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</si>
  <si>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</si>
  <si>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</si>
  <si>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</si>
  <si>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</si>
  <si>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</si>
  <si>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</si>
  <si>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</si>
  <si>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</si>
  <si>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</si>
  <si>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</si>
  <si>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</si>
  <si>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</si>
  <si>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</si>
  <si>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</si>
  <si>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</si>
  <si>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</si>
  <si>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</si>
  <si>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</si>
  <si>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</si>
  <si>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</si>
  <si>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</si>
  <si>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</si>
  <si>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</si>
  <si>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</si>
  <si>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</si>
  <si>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</si>
  <si>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</si>
  <si>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</si>
  <si>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</si>
  <si>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</si>
  <si>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</si>
  <si>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</si>
  <si>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</si>
  <si>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</si>
  <si>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</si>
  <si>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</si>
  <si>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</si>
  <si>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</si>
  <si>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</si>
  <si>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</si>
  <si>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</si>
  <si>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</si>
  <si>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</si>
  <si>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</si>
  <si>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</si>
  <si>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</si>
  <si>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</si>
  <si>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</si>
  <si>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</si>
  <si>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</si>
  <si>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</si>
  <si>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</si>
  <si>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</si>
  <si>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</si>
  <si>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</si>
  <si>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</si>
  <si>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</si>
  <si>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</si>
  <si>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</si>
  <si>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</si>
  <si>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</si>
  <si>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</si>
  <si>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</si>
  <si>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</si>
  <si>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</si>
  <si>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</si>
  <si>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</si>
  <si>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</si>
  <si>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</si>
  <si>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</si>
  <si>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</si>
  <si>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</si>
  <si>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</si>
  <si>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</si>
  <si>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</si>
  <si>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</si>
  <si>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</si>
  <si>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</si>
  <si>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</si>
  <si>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</si>
  <si>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</si>
  <si>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</si>
  <si>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</si>
  <si>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</si>
  <si>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</si>
  <si>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</si>
  <si>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</si>
  <si>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</si>
  <si>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</si>
  <si>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</si>
  <si>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</si>
  <si>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</si>
  <si>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</si>
  <si>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</si>
  <si>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</si>
  <si>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</si>
  <si>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</si>
  <si>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</si>
  <si>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</si>
  <si>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</si>
  <si>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</si>
  <si>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</si>
  <si>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</si>
  <si>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</si>
  <si>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</si>
  <si>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</si>
  <si>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</si>
  <si>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</si>
  <si>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</si>
  <si>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</si>
  <si>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</si>
  <si>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</si>
  <si>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</si>
  <si>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</si>
  <si>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</si>
  <si>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</si>
  <si>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</si>
  <si>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</si>
  <si>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</si>
  <si>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</si>
  <si>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</si>
  <si>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</si>
  <si>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</si>
  <si>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</si>
  <si>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</si>
  <si>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</si>
  <si>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</si>
  <si>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</si>
  <si>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</si>
  <si>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</si>
  <si>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</si>
  <si>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</si>
  <si>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</si>
  <si>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</si>
  <si>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</si>
  <si>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</si>
  <si>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</si>
  <si>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</si>
  <si>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</si>
  <si>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</si>
  <si>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</si>
  <si>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</si>
  <si>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</si>
  <si>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</si>
  <si>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</si>
  <si>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</si>
  <si>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</si>
  <si>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</si>
  <si>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</si>
  <si>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</si>
  <si>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</si>
  <si>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</si>
  <si>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</si>
  <si>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</si>
  <si>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</si>
  <si>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</si>
  <si>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</si>
  <si>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</si>
  <si>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</si>
  <si>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</si>
  <si>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</si>
  <si>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</si>
  <si>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</si>
  <si>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</si>
  <si>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</si>
  <si>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</si>
  <si>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</si>
  <si>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</si>
  <si>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</si>
  <si>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</si>
  <si>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</si>
  <si>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</si>
  <si>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</si>
  <si>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</si>
  <si>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</si>
  <si>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</si>
  <si>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</si>
  <si>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</si>
  <si>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</si>
  <si>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</si>
  <si>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</si>
  <si>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</si>
  <si>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</si>
  <si>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</si>
  <si>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</si>
  <si>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</si>
  <si>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</si>
  <si>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</si>
  <si>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</si>
  <si>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</si>
  <si>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</si>
  <si>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</si>
  <si>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</si>
  <si>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</si>
  <si>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</si>
  <si>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</si>
  <si>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</si>
  <si>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</si>
  <si>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</si>
  <si>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</si>
  <si>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</si>
  <si>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</si>
  <si>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</si>
  <si>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</si>
  <si>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</si>
  <si>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</si>
  <si>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</si>
  <si>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</si>
  <si>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</si>
  <si>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</si>
  <si>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</si>
  <si>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</si>
  <si>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</si>
  <si>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</si>
  <si>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</si>
  <si>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</si>
  <si>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</si>
  <si>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</si>
  <si>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</si>
  <si>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</si>
  <si>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</si>
  <si>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</si>
  <si>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</si>
  <si>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</si>
  <si>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</si>
  <si>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</si>
  <si>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</si>
  <si>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</si>
  <si>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</si>
  <si>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</si>
  <si>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</si>
  <si>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</si>
  <si>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</si>
  <si>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</si>
  <si>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</si>
  <si>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</si>
  <si>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</si>
  <si>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</si>
  <si>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</si>
  <si>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</si>
  <si>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</si>
  <si>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</si>
  <si>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</si>
  <si>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</si>
  <si>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</si>
  <si>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</si>
  <si>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</si>
  <si>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</si>
  <si>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</si>
  <si>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</si>
  <si>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</si>
  <si>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</si>
  <si>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</si>
  <si>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</si>
  <si>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</si>
  <si>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</si>
  <si>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</si>
  <si>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</si>
  <si>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</si>
  <si>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</si>
  <si>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</si>
  <si>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</si>
  <si>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</si>
  <si>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</si>
  <si>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</si>
  <si>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</si>
  <si>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</si>
  <si>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</si>
  <si>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</si>
  <si>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</si>
  <si>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</si>
  <si>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</si>
  <si>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</si>
  <si>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</si>
  <si>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</si>
  <si>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</si>
  <si>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</si>
  <si>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</si>
  <si>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</si>
  <si>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</si>
  <si>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</si>
  <si>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</si>
  <si>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</si>
  <si>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</si>
  <si>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</si>
  <si>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</si>
  <si>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</si>
  <si>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</si>
  <si>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</si>
  <si>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</si>
  <si>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</si>
  <si>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</si>
  <si>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</si>
  <si>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</si>
  <si>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</si>
  <si>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</si>
  <si>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</si>
  <si>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</si>
  <si>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</si>
  <si>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</si>
  <si>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</si>
  <si>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</si>
  <si>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</si>
  <si>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</si>
  <si>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</si>
  <si>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</si>
  <si>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</si>
  <si>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</si>
  <si>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</si>
  <si>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</si>
  <si>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</si>
  <si>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</si>
  <si>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</si>
  <si>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</si>
  <si>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</si>
  <si>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</si>
  <si>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</si>
  <si>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</si>
  <si>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</si>
  <si>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</si>
  <si>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</si>
  <si>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</si>
  <si>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</si>
  <si>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</si>
  <si>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</si>
  <si>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</si>
  <si>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</si>
  <si>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</si>
  <si>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</si>
  <si>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</si>
  <si>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</si>
  <si>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</si>
  <si>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</si>
  <si>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</si>
  <si>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</si>
  <si>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</si>
  <si>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</si>
  <si>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</si>
  <si>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</si>
  <si>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</si>
  <si>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</si>
  <si>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</si>
  <si>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</si>
  <si>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</si>
  <si>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</si>
  <si>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</si>
  <si>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</si>
  <si>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</si>
  <si>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</si>
  <si>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</si>
  <si>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</si>
  <si>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</si>
  <si>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</si>
  <si>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</si>
  <si>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</si>
  <si>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</si>
  <si>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</si>
  <si>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</si>
  <si>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</si>
  <si>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</si>
  <si>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</si>
  <si>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</si>
  <si>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</si>
  <si>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</si>
  <si>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</si>
  <si>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</si>
  <si>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</si>
  <si>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</si>
  <si>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</si>
  <si>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</si>
  <si>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</si>
  <si>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</si>
  <si>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</si>
  <si>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</si>
  <si>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</si>
  <si>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</si>
  <si>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</si>
  <si>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</si>
  <si>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</si>
  <si>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</si>
  <si>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</si>
  <si>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</si>
  <si>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</si>
  <si>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</si>
  <si>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</si>
  <si>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</si>
  <si>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</si>
  <si>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</si>
  <si>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</si>
  <si>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</si>
  <si>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</si>
  <si>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</si>
  <si>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</si>
  <si>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</si>
  <si>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</si>
  <si>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</si>
  <si>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</si>
  <si>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</si>
  <si>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</si>
  <si>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</si>
  <si>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</si>
  <si>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</si>
  <si>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</si>
  <si>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</si>
  <si>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</si>
  <si>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</si>
  <si>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</si>
  <si>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</si>
  <si>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</si>
  <si>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</si>
  <si>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</si>
  <si>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</si>
  <si>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</si>
  <si>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</si>
  <si>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</si>
  <si>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</si>
  <si>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</si>
  <si>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</si>
  <si>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</si>
  <si>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</si>
  <si>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</si>
  <si>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</si>
  <si>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</si>
  <si>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</si>
  <si>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</si>
  <si>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</si>
  <si>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</si>
  <si>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</si>
  <si>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</si>
  <si>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</si>
  <si>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</si>
  <si>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</si>
  <si>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</si>
  <si>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</si>
  <si>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</si>
  <si>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</si>
  <si>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</si>
  <si>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</si>
  <si>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</si>
  <si>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</si>
  <si>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</si>
  <si>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</si>
  <si>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</si>
  <si>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</si>
  <si>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</si>
  <si>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</si>
  <si>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</si>
  <si>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</si>
  <si>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</si>
  <si>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</si>
  <si>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</si>
  <si>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</si>
  <si>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</si>
  <si>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</si>
  <si>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</si>
  <si>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</si>
  <si>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</si>
  <si>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</si>
  <si>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</si>
  <si>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</si>
  <si>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</si>
  <si>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</si>
  <si>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</si>
  <si>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</si>
  <si>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</si>
  <si>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</si>
  <si>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</si>
  <si>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</si>
  <si>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</si>
  <si>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</si>
  <si>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</si>
  <si>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</si>
  <si>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</si>
  <si>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</si>
  <si>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</si>
  <si>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</si>
  <si>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</si>
  <si>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</si>
  <si>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</si>
  <si>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</si>
  <si>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</si>
  <si>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</si>
  <si>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</si>
  <si>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</si>
  <si>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</si>
  <si>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</si>
  <si>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</si>
  <si>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</si>
  <si>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</si>
  <si>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</si>
  <si>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</si>
  <si>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</si>
  <si>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</si>
  <si>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</si>
  <si>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</si>
  <si>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</si>
  <si>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</si>
  <si>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</si>
  <si>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r>
      <t xml:space="preserve">Total Spend (MA) </t>
    </r>
    <r>
      <rPr>
        <b/>
        <sz val="10"/>
        <rFont val="Arial"/>
        <family val="2"/>
      </rPr>
      <t xml:space="preserve"> </t>
    </r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</si>
  <si>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</si>
  <si>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</si>
  <si>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2017-2018</t>
  </si>
  <si>
    <t>11.1 - 2</t>
  </si>
  <si>
    <t>11.1 - 3</t>
  </si>
  <si>
    <t>11.1 - 4</t>
  </si>
  <si>
    <t>Latest Projection of Scheme Outturn Cost</t>
  </si>
  <si>
    <t>Total 16/17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</si>
  <si>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</si>
  <si>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</si>
  <si>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</si>
  <si>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</si>
  <si>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</si>
  <si>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</si>
  <si>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</si>
  <si>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</si>
  <si>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</si>
  <si>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</si>
  <si>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</si>
  <si>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</si>
  <si>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</si>
  <si>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IAE Allowance</t>
  </si>
  <si>
    <t>Total SBR &amp; DSBR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</si>
  <si>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</si>
  <si>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</si>
  <si>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</si>
  <si>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</si>
  <si>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</si>
  <si>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11.2 - 5</t>
  </si>
  <si>
    <t>Total 17/18</t>
  </si>
  <si>
    <t>Total 18/19</t>
  </si>
  <si>
    <t/>
  </si>
  <si>
    <t>Black Start (non-incentivised)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</si>
  <si>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</si>
  <si>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</si>
  <si>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</si>
  <si>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</si>
  <si>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</si>
  <si>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</si>
  <si>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</si>
  <si>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</si>
  <si>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</si>
  <si>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</si>
  <si>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</si>
  <si>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</si>
  <si>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</si>
  <si>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</si>
  <si>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</si>
  <si>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</si>
  <si>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</si>
  <si>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</si>
  <si>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</si>
  <si>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</si>
  <si>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</si>
  <si>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</si>
  <si>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</si>
  <si>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</si>
  <si>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</si>
  <si>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</si>
  <si>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</si>
  <si>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</si>
  <si>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</si>
  <si>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</si>
  <si>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</si>
  <si>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</si>
  <si>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</si>
  <si>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</si>
  <si>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 xml:space="preserve"> 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</si>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</sst>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7"/>
      <name val="Arial"/>
      <family val="2"/>
    </font>
    <font>
      <sz val="5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89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41" borderId="0" applyNumberFormat="0" applyBorder="0" applyAlignment="0" applyProtection="0"/>
    <xf numFmtId="0" fontId="27" fillId="40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43" borderId="0" applyNumberFormat="0" applyBorder="0" applyAlignment="0" applyProtection="0"/>
    <xf numFmtId="0" fontId="27" fillId="42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39" borderId="0" applyNumberFormat="0" applyBorder="0" applyAlignment="0" applyProtection="0"/>
    <xf numFmtId="0" fontId="27" fillId="44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43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7" fillId="46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7" borderId="0" applyNumberFormat="0" applyBorder="0" applyAlignment="0" applyProtection="0"/>
    <xf numFmtId="0" fontId="27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2" fillId="15" borderId="0" applyNumberFormat="0" applyBorder="0" applyAlignment="0" applyProtection="0"/>
    <xf numFmtId="0" fontId="28" fillId="52" borderId="0" applyNumberFormat="0" applyBorder="0" applyAlignment="0" applyProtection="0"/>
    <xf numFmtId="0" fontId="29" fillId="5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2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2" fillId="23" borderId="0" applyNumberFormat="0" applyBorder="0" applyAlignment="0" applyProtection="0"/>
    <xf numFmtId="0" fontId="28" fillId="49" borderId="0" applyNumberFormat="0" applyBorder="0" applyAlignment="0" applyProtection="0"/>
    <xf numFmtId="0" fontId="29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7" borderId="0" applyNumberFormat="0" applyBorder="0" applyAlignment="0" applyProtection="0"/>
    <xf numFmtId="0" fontId="28" fillId="47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31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35" borderId="0" applyNumberFormat="0" applyBorder="0" applyAlignment="0" applyProtection="0"/>
    <xf numFmtId="0" fontId="28" fillId="41" borderId="0" applyNumberFormat="0" applyBorder="0" applyAlignment="0" applyProtection="0"/>
    <xf numFmtId="0" fontId="29" fillId="54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2" fillId="12" borderId="0" applyNumberFormat="0" applyBorder="0" applyAlignment="0" applyProtection="0"/>
    <xf numFmtId="0" fontId="28" fillId="52" borderId="0" applyNumberFormat="0" applyBorder="0" applyAlignment="0" applyProtection="0"/>
    <xf numFmtId="0" fontId="29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2" fillId="1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2" fillId="20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4" borderId="0" applyNumberFormat="0" applyBorder="0" applyAlignment="0" applyProtection="0"/>
    <xf numFmtId="0" fontId="28" fillId="58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28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2" fillId="3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2" fillId="6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53" applyNumberFormat="0" applyAlignment="0" applyProtection="0"/>
    <xf numFmtId="0" fontId="33" fillId="47" borderId="53" applyNumberFormat="0" applyAlignment="0" applyProtection="0"/>
    <xf numFmtId="0" fontId="16" fillId="9" borderId="30" applyNumberFormat="0" applyAlignment="0" applyProtection="0"/>
    <xf numFmtId="0" fontId="32" fillId="60" borderId="53" applyNumberFormat="0" applyAlignment="0" applyProtection="0"/>
    <xf numFmtId="0" fontId="33" fillId="47" borderId="5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0" fontId="18" fillId="10" borderId="3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55" applyNumberFormat="0" applyFill="0" applyAlignment="0" applyProtection="0"/>
    <xf numFmtId="0" fontId="41" fillId="0" borderId="55" applyNumberFormat="0" applyFill="0" applyAlignment="0" applyProtection="0"/>
    <xf numFmtId="0" fontId="8" fillId="0" borderId="27" applyNumberFormat="0" applyFill="0" applyAlignment="0" applyProtection="0"/>
    <xf numFmtId="0" fontId="42" fillId="0" borderId="56" applyNumberFormat="0" applyFill="0" applyAlignment="0" applyProtection="0"/>
    <xf numFmtId="0" fontId="41" fillId="0" borderId="55" applyNumberFormat="0" applyFill="0" applyAlignment="0" applyProtection="0"/>
    <xf numFmtId="0" fontId="43" fillId="0" borderId="57" applyNumberFormat="0" applyFill="0" applyAlignment="0" applyProtection="0"/>
    <xf numFmtId="0" fontId="44" fillId="0" borderId="57" applyNumberFormat="0" applyFill="0" applyAlignment="0" applyProtection="0"/>
    <xf numFmtId="0" fontId="9" fillId="0" borderId="28" applyNumberFormat="0" applyFill="0" applyAlignment="0" applyProtection="0"/>
    <xf numFmtId="0" fontId="45" fillId="0" borderId="57" applyNumberFormat="0" applyFill="0" applyAlignment="0" applyProtection="0"/>
    <xf numFmtId="0" fontId="44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8" applyNumberFormat="0" applyFill="0" applyAlignment="0" applyProtection="0"/>
    <xf numFmtId="0" fontId="10" fillId="0" borderId="29" applyNumberFormat="0" applyFill="0" applyAlignment="0" applyProtection="0"/>
    <xf numFmtId="0" fontId="48" fillId="0" borderId="59" applyNumberFormat="0" applyFill="0" applyAlignment="0" applyProtection="0"/>
    <xf numFmtId="0" fontId="47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9" borderId="53" applyNumberFormat="0" applyAlignment="0" applyProtection="0"/>
    <xf numFmtId="0" fontId="51" fillId="39" borderId="53" applyNumberFormat="0" applyAlignment="0" applyProtection="0"/>
    <xf numFmtId="0" fontId="14" fillId="8" borderId="30" applyNumberFormat="0" applyAlignment="0" applyProtection="0"/>
    <xf numFmtId="0" fontId="50" fillId="49" borderId="53" applyNumberFormat="0" applyAlignment="0" applyProtection="0"/>
    <xf numFmtId="0" fontId="51" fillId="39" borderId="53" applyNumberFormat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17" fillId="0" borderId="32" applyNumberFormat="0" applyFill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56" fillId="47" borderId="62" applyNumberFormat="0" applyAlignment="0" applyProtection="0"/>
    <xf numFmtId="0" fontId="57" fillId="47" borderId="62" applyNumberFormat="0" applyAlignment="0" applyProtection="0"/>
    <xf numFmtId="0" fontId="15" fillId="9" borderId="31" applyNumberFormat="0" applyAlignment="0" applyProtection="0"/>
    <xf numFmtId="0" fontId="56" fillId="60" borderId="62" applyNumberFormat="0" applyAlignment="0" applyProtection="0"/>
    <xf numFmtId="0" fontId="57" fillId="47" borderId="6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3" applyNumberFormat="0" applyFill="0" applyAlignment="0" applyProtection="0"/>
    <xf numFmtId="0" fontId="61" fillId="0" borderId="63" applyNumberFormat="0" applyFill="0" applyAlignment="0" applyProtection="0"/>
    <xf numFmtId="0" fontId="21" fillId="0" borderId="35" applyNumberFormat="0" applyFill="0" applyAlignment="0" applyProtection="0"/>
    <xf numFmtId="0" fontId="60" fillId="0" borderId="64" applyNumberFormat="0" applyFill="0" applyAlignment="0" applyProtection="0"/>
    <xf numFmtId="0" fontId="61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91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2" applyFont="1" applyFill="1" applyBorder="1" applyAlignment="1">
      <alignment horizontal="right" wrapText="1"/>
    </xf>
    <xf numFmtId="15" fontId="4" fillId="0" borderId="12" xfId="2" applyNumberFormat="1" applyFont="1" applyFill="1" applyBorder="1" applyAlignment="1">
      <alignment horizontal="right" wrapText="1"/>
    </xf>
    <xf numFmtId="0" fontId="4" fillId="0" borderId="13" xfId="2" applyFont="1" applyFill="1" applyBorder="1" applyAlignment="1">
      <alignment horizontal="right" wrapText="1"/>
    </xf>
    <xf numFmtId="0" fontId="4" fillId="0" borderId="14" xfId="2" applyFont="1" applyFill="1" applyBorder="1" applyAlignment="1">
      <alignment horizontal="right" wrapText="1"/>
    </xf>
    <xf numFmtId="0" fontId="0" fillId="0" borderId="6" xfId="0" applyBorder="1"/>
    <xf numFmtId="15" fontId="4" fillId="0" borderId="6" xfId="2" applyNumberFormat="1" applyFont="1" applyFill="1" applyBorder="1" applyAlignment="1">
      <alignment horizontal="right" wrapText="1"/>
    </xf>
    <xf numFmtId="0" fontId="4" fillId="0" borderId="15" xfId="2" applyFont="1" applyFill="1" applyBorder="1" applyAlignment="1">
      <alignment horizontal="right" wrapText="1"/>
    </xf>
    <xf numFmtId="0" fontId="4" fillId="0" borderId="15" xfId="2" applyFill="1" applyBorder="1"/>
    <xf numFmtId="0" fontId="4" fillId="0" borderId="16" xfId="2" applyFont="1" applyFill="1" applyBorder="1" applyAlignment="1">
      <alignment horizontal="right" wrapText="1"/>
    </xf>
    <xf numFmtId="0" fontId="4" fillId="0" borderId="15" xfId="3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6" fillId="0" borderId="17" xfId="2" applyFont="1" applyFill="1" applyBorder="1" applyAlignment="1">
      <alignment horizontal="right" wrapText="1"/>
    </xf>
    <xf numFmtId="15" fontId="4" fillId="0" borderId="4" xfId="2" applyNumberFormat="1" applyFont="1" applyFill="1" applyBorder="1" applyAlignment="1">
      <alignment horizontal="right" wrapText="1"/>
    </xf>
    <xf numFmtId="0" fontId="4" fillId="0" borderId="18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horizontal="right" wrapText="1"/>
    </xf>
    <xf numFmtId="0" fontId="4" fillId="0" borderId="19" xfId="2" applyFont="1" applyFill="1" applyBorder="1" applyAlignment="1">
      <alignment horizontal="right" wrapText="1"/>
    </xf>
    <xf numFmtId="14" fontId="0" fillId="0" borderId="0" xfId="0" applyNumberFormat="1"/>
    <xf numFmtId="0" fontId="4" fillId="0" borderId="0" xfId="2" applyFont="1" applyFill="1" applyBorder="1" applyAlignment="1">
      <alignment horizontal="right" wrapText="1"/>
    </xf>
    <xf numFmtId="0" fontId="2" fillId="4" borderId="20" xfId="1" applyFont="1" applyFill="1" applyBorder="1"/>
    <xf numFmtId="0" fontId="2" fillId="4" borderId="21" xfId="1" applyFont="1" applyFill="1" applyBorder="1"/>
    <xf numFmtId="0" fontId="2" fillId="4" borderId="20" xfId="1" applyFont="1" applyFill="1" applyBorder="1" applyAlignment="1">
      <alignment horizontal="center" wrapText="1"/>
    </xf>
    <xf numFmtId="0" fontId="2" fillId="4" borderId="20" xfId="1" applyFont="1" applyFill="1" applyBorder="1" applyAlignment="1">
      <alignment horizontal="center"/>
    </xf>
    <xf numFmtId="0" fontId="3" fillId="0" borderId="0" xfId="1"/>
    <xf numFmtId="2" fontId="23" fillId="0" borderId="0" xfId="1" applyNumberFormat="1" applyFont="1"/>
    <xf numFmtId="0" fontId="3" fillId="0" borderId="37" xfId="1" applyFill="1" applyBorder="1"/>
    <xf numFmtId="0" fontId="3" fillId="0" borderId="38" xfId="1" applyFill="1" applyBorder="1"/>
    <xf numFmtId="0" fontId="3" fillId="0" borderId="37" xfId="1" applyFill="1" applyBorder="1" applyAlignment="1">
      <alignment horizontal="center"/>
    </xf>
    <xf numFmtId="1" fontId="3" fillId="0" borderId="37" xfId="1" applyNumberFormat="1" applyFill="1" applyBorder="1" applyAlignment="1">
      <alignment horizontal="center"/>
    </xf>
    <xf numFmtId="0" fontId="3" fillId="0" borderId="39" xfId="1" applyFill="1" applyBorder="1"/>
    <xf numFmtId="0" fontId="3" fillId="0" borderId="40" xfId="1" applyFill="1" applyBorder="1"/>
    <xf numFmtId="0" fontId="3" fillId="0" borderId="39" xfId="1" applyFont="1" applyFill="1" applyBorder="1" applyAlignment="1">
      <alignment horizontal="center"/>
    </xf>
    <xf numFmtId="3" fontId="3" fillId="0" borderId="39" xfId="1" applyNumberFormat="1" applyFill="1" applyBorder="1" applyAlignment="1">
      <alignment horizontal="center"/>
    </xf>
    <xf numFmtId="2" fontId="3" fillId="0" borderId="39" xfId="5" applyNumberFormat="1" applyFont="1" applyFill="1" applyBorder="1" applyAlignment="1">
      <alignment horizontal="center"/>
    </xf>
    <xf numFmtId="0" fontId="3" fillId="0" borderId="41" xfId="1" applyFill="1" applyBorder="1"/>
    <xf numFmtId="0" fontId="3" fillId="0" borderId="42" xfId="1" applyFill="1" applyBorder="1"/>
    <xf numFmtId="2" fontId="3" fillId="0" borderId="41" xfId="5" applyNumberFormat="1" applyFont="1" applyFill="1" applyBorder="1" applyAlignment="1">
      <alignment horizontal="center"/>
    </xf>
    <xf numFmtId="0" fontId="3" fillId="0" borderId="43" xfId="1" applyFill="1" applyBorder="1"/>
    <xf numFmtId="0" fontId="5" fillId="0" borderId="44" xfId="1" applyFont="1" applyFill="1" applyBorder="1"/>
    <xf numFmtId="2" fontId="3" fillId="0" borderId="43" xfId="5" applyNumberFormat="1" applyFont="1" applyFill="1" applyBorder="1" applyAlignment="1">
      <alignment horizontal="center"/>
    </xf>
    <xf numFmtId="0" fontId="3" fillId="0" borderId="39" xfId="1" applyFill="1" applyBorder="1" applyAlignment="1">
      <alignment wrapText="1"/>
    </xf>
    <xf numFmtId="0" fontId="3" fillId="0" borderId="45" xfId="1" applyFill="1" applyBorder="1"/>
    <xf numFmtId="164" fontId="0" fillId="0" borderId="39" xfId="5" applyNumberFormat="1" applyFont="1" applyFill="1" applyBorder="1" applyAlignment="1">
      <alignment horizontal="center"/>
    </xf>
    <xf numFmtId="2" fontId="0" fillId="0" borderId="39" xfId="5" applyNumberFormat="1" applyFont="1" applyFill="1" applyBorder="1" applyAlignment="1">
      <alignment horizontal="center"/>
    </xf>
    <xf numFmtId="0" fontId="3" fillId="0" borderId="46" xfId="1" applyFill="1" applyBorder="1"/>
    <xf numFmtId="3" fontId="3" fillId="0" borderId="41" xfId="1" applyNumberFormat="1" applyFill="1" applyBorder="1" applyAlignment="1">
      <alignment horizontal="center"/>
    </xf>
    <xf numFmtId="0" fontId="3" fillId="0" borderId="44" xfId="1" applyFill="1" applyBorder="1"/>
    <xf numFmtId="0" fontId="3" fillId="0" borderId="47" xfId="1" applyFill="1" applyBorder="1"/>
    <xf numFmtId="0" fontId="3" fillId="0" borderId="46" xfId="1" applyFill="1" applyBorder="1" applyAlignment="1">
      <alignment wrapText="1"/>
    </xf>
    <xf numFmtId="0" fontId="3" fillId="0" borderId="43" xfId="1" applyFont="1" applyFill="1" applyBorder="1" applyAlignment="1">
      <alignment horizontal="center" wrapText="1"/>
    </xf>
    <xf numFmtId="0" fontId="3" fillId="0" borderId="48" xfId="1" applyFill="1" applyBorder="1"/>
    <xf numFmtId="2" fontId="3" fillId="0" borderId="48" xfId="5" applyNumberFormat="1" applyFont="1" applyFill="1" applyBorder="1" applyAlignment="1">
      <alignment horizontal="center"/>
    </xf>
    <xf numFmtId="0" fontId="3" fillId="0" borderId="22" xfId="1" applyFill="1" applyBorder="1"/>
    <xf numFmtId="0" fontId="3" fillId="0" borderId="0" xfId="1" applyFill="1" applyBorder="1"/>
    <xf numFmtId="2" fontId="3" fillId="0" borderId="22" xfId="5" applyNumberFormat="1" applyFont="1" applyFill="1" applyBorder="1" applyAlignment="1">
      <alignment horizontal="center"/>
    </xf>
    <xf numFmtId="0" fontId="3" fillId="0" borderId="41" xfId="1" applyFill="1" applyBorder="1" applyAlignment="1">
      <alignment horizontal="center"/>
    </xf>
    <xf numFmtId="0" fontId="3" fillId="0" borderId="49" xfId="1" applyFill="1" applyBorder="1"/>
    <xf numFmtId="0" fontId="3" fillId="0" borderId="50" xfId="1" applyFill="1" applyBorder="1" applyAlignment="1">
      <alignment wrapText="1"/>
    </xf>
    <xf numFmtId="2" fontId="3" fillId="0" borderId="49" xfId="5" applyNumberFormat="1" applyFont="1" applyFill="1" applyBorder="1" applyAlignment="1">
      <alignment horizontal="center"/>
    </xf>
    <xf numFmtId="0" fontId="3" fillId="0" borderId="51" xfId="1" applyFill="1" applyBorder="1"/>
    <xf numFmtId="0" fontId="3" fillId="0" borderId="52" xfId="1" applyFill="1" applyBorder="1"/>
    <xf numFmtId="2" fontId="3" fillId="0" borderId="51" xfId="5" applyNumberFormat="1" applyFont="1" applyFill="1" applyBorder="1" applyAlignment="1">
      <alignment horizontal="center"/>
    </xf>
    <xf numFmtId="0" fontId="3" fillId="0" borderId="51" xfId="1" applyFill="1" applyBorder="1" applyAlignment="1">
      <alignment horizontal="center"/>
    </xf>
    <xf numFmtId="0" fontId="3" fillId="0" borderId="23" xfId="1" applyFill="1" applyBorder="1"/>
    <xf numFmtId="0" fontId="3" fillId="0" borderId="24" xfId="1" applyFill="1" applyBorder="1"/>
    <xf numFmtId="2" fontId="0" fillId="0" borderId="23" xfId="5" applyNumberFormat="1" applyFont="1" applyFill="1" applyBorder="1" applyAlignment="1">
      <alignment horizontal="center"/>
    </xf>
    <xf numFmtId="2" fontId="0" fillId="0" borderId="43" xfId="5" applyNumberFormat="1" applyFont="1" applyFill="1" applyBorder="1" applyAlignment="1">
      <alignment horizontal="center"/>
    </xf>
    <xf numFmtId="1" fontId="3" fillId="0" borderId="43" xfId="1" applyNumberFormat="1" applyFill="1" applyBorder="1" applyAlignment="1">
      <alignment horizontal="center"/>
    </xf>
    <xf numFmtId="2" fontId="0" fillId="0" borderId="45" xfId="5" applyNumberFormat="1" applyFont="1" applyFill="1" applyBorder="1" applyAlignment="1">
      <alignment horizontal="center"/>
    </xf>
    <xf numFmtId="165" fontId="3" fillId="0" borderId="39" xfId="1" applyNumberFormat="1" applyFill="1" applyBorder="1" applyAlignment="1">
      <alignment horizontal="center"/>
    </xf>
    <xf numFmtId="2" fontId="0" fillId="0" borderId="48" xfId="5" applyNumberFormat="1" applyFont="1" applyFill="1" applyBorder="1" applyAlignment="1">
      <alignment horizontal="center"/>
    </xf>
    <xf numFmtId="0" fontId="3" fillId="0" borderId="43" xfId="1" applyFill="1" applyBorder="1" applyAlignment="1">
      <alignment wrapText="1"/>
    </xf>
    <xf numFmtId="0" fontId="3" fillId="0" borderId="41" xfId="1" applyFill="1" applyBorder="1" applyAlignment="1">
      <alignment wrapText="1"/>
    </xf>
    <xf numFmtId="0" fontId="3" fillId="0" borderId="9" xfId="1" applyFill="1" applyBorder="1"/>
    <xf numFmtId="0" fontId="3" fillId="0" borderId="25" xfId="1" applyFill="1" applyBorder="1"/>
    <xf numFmtId="2" fontId="0" fillId="0" borderId="9" xfId="5" applyNumberFormat="1" applyFont="1" applyFill="1" applyBorder="1" applyAlignment="1">
      <alignment horizontal="center"/>
    </xf>
    <xf numFmtId="0" fontId="3" fillId="0" borderId="9" xfId="1" applyFill="1" applyBorder="1" applyAlignment="1">
      <alignment wrapText="1"/>
    </xf>
    <xf numFmtId="0" fontId="3" fillId="0" borderId="26" xfId="1" applyFill="1" applyBorder="1"/>
    <xf numFmtId="0" fontId="3" fillId="4" borderId="9" xfId="1" applyFill="1" applyBorder="1"/>
    <xf numFmtId="0" fontId="3" fillId="4" borderId="24" xfId="1" applyFill="1" applyBorder="1"/>
    <xf numFmtId="166" fontId="3" fillId="4" borderId="9" xfId="1" applyNumberFormat="1" applyFill="1" applyBorder="1" applyAlignment="1">
      <alignment horizontal="center"/>
    </xf>
    <xf numFmtId="2" fontId="0" fillId="0" borderId="47" xfId="5" applyNumberFormat="1" applyFont="1" applyFill="1" applyBorder="1" applyAlignment="1">
      <alignment horizontal="center"/>
    </xf>
    <xf numFmtId="0" fontId="3" fillId="0" borderId="39" xfId="1" applyFill="1" applyBorder="1" applyAlignment="1">
      <alignment horizontal="center"/>
    </xf>
    <xf numFmtId="3" fontId="3" fillId="0" borderId="47" xfId="1" applyNumberFormat="1" applyFill="1" applyBorder="1" applyAlignment="1">
      <alignment horizontal="center"/>
    </xf>
    <xf numFmtId="2" fontId="0" fillId="0" borderId="41" xfId="5" applyNumberFormat="1" applyFont="1" applyFill="1" applyBorder="1" applyAlignment="1">
      <alignment horizontal="center"/>
    </xf>
    <xf numFmtId="0" fontId="3" fillId="0" borderId="47" xfId="1" applyFill="1" applyBorder="1" applyAlignment="1">
      <alignment horizontal="center"/>
    </xf>
    <xf numFmtId="2" fontId="3" fillId="0" borderId="47" xfId="1" applyNumberFormat="1" applyFill="1" applyBorder="1" applyAlignment="1">
      <alignment horizontal="center"/>
    </xf>
    <xf numFmtId="167" fontId="3" fillId="0" borderId="47" xfId="1" applyNumberFormat="1" applyFill="1" applyBorder="1" applyAlignment="1">
      <alignment horizontal="center"/>
    </xf>
    <xf numFmtId="0" fontId="3" fillId="37" borderId="0" xfId="1" applyFill="1" applyBorder="1"/>
    <xf numFmtId="8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64" fillId="0" borderId="65" xfId="0" applyFont="1" applyBorder="1" applyAlignment="1">
      <alignment horizontal="left" vertical="top" wrapText="1"/>
    </xf>
    <xf numFmtId="17" fontId="64" fillId="0" borderId="66" xfId="0" applyNumberFormat="1" applyFont="1" applyFill="1" applyBorder="1" applyAlignment="1">
      <alignment horizontal="center" vertical="center" textRotation="90"/>
    </xf>
    <xf numFmtId="17" fontId="64" fillId="0" borderId="67" xfId="0" applyNumberFormat="1" applyFont="1" applyFill="1" applyBorder="1" applyAlignment="1">
      <alignment horizontal="center" vertical="center" textRotation="90"/>
    </xf>
    <xf numFmtId="17" fontId="64" fillId="0" borderId="68" xfId="0" applyNumberFormat="1" applyFont="1" applyFill="1" applyBorder="1" applyAlignment="1">
      <alignment horizontal="center" vertical="center" textRotation="90"/>
    </xf>
    <xf numFmtId="0" fontId="64" fillId="0" borderId="69" xfId="0" applyFont="1" applyFill="1" applyBorder="1" applyAlignment="1">
      <alignment horizontal="center" vertical="center" textRotation="90"/>
    </xf>
    <xf numFmtId="0" fontId="64" fillId="62" borderId="70" xfId="0" applyFont="1" applyFill="1" applyBorder="1" applyAlignment="1">
      <alignment horizontal="left"/>
    </xf>
    <xf numFmtId="164" fontId="65" fillId="0" borderId="71" xfId="0" applyNumberFormat="1" applyFont="1" applyFill="1" applyBorder="1" applyAlignment="1">
      <alignment horizontal="center"/>
    </xf>
    <xf numFmtId="164" fontId="65" fillId="0" borderId="72" xfId="0" applyNumberFormat="1" applyFont="1" applyFill="1" applyBorder="1" applyAlignment="1">
      <alignment horizontal="center"/>
    </xf>
    <xf numFmtId="164" fontId="65" fillId="0" borderId="73" xfId="0" applyNumberFormat="1" applyFont="1" applyFill="1" applyBorder="1" applyAlignment="1">
      <alignment horizontal="center"/>
    </xf>
    <xf numFmtId="164" fontId="65" fillId="0" borderId="74" xfId="0" applyNumberFormat="1" applyFont="1" applyFill="1" applyBorder="1" applyAlignment="1">
      <alignment horizontal="center"/>
    </xf>
    <xf numFmtId="0" fontId="66" fillId="63" borderId="70" xfId="0" applyFont="1" applyFill="1" applyBorder="1" applyAlignment="1">
      <alignment horizontal="left"/>
    </xf>
    <xf numFmtId="164" fontId="65" fillId="0" borderId="75" xfId="0" applyNumberFormat="1" applyFont="1" applyFill="1" applyBorder="1" applyAlignment="1">
      <alignment horizontal="center"/>
    </xf>
    <xf numFmtId="164" fontId="65" fillId="0" borderId="76" xfId="0" applyNumberFormat="1" applyFont="1" applyFill="1" applyBorder="1" applyAlignment="1">
      <alignment horizontal="center"/>
    </xf>
    <xf numFmtId="164" fontId="65" fillId="0" borderId="77" xfId="0" applyNumberFormat="1" applyFont="1" applyFill="1" applyBorder="1" applyAlignment="1">
      <alignment horizontal="center"/>
    </xf>
    <xf numFmtId="164" fontId="65" fillId="0" borderId="78" xfId="0" applyNumberFormat="1" applyFont="1" applyFill="1" applyBorder="1" applyAlignment="1">
      <alignment horizontal="center"/>
    </xf>
    <xf numFmtId="0" fontId="64" fillId="4" borderId="70" xfId="0" applyFont="1" applyFill="1" applyBorder="1" applyAlignment="1">
      <alignment horizontal="left"/>
    </xf>
    <xf numFmtId="0" fontId="64" fillId="64" borderId="70" xfId="0" applyFont="1" applyFill="1" applyBorder="1" applyAlignment="1">
      <alignment horizontal="left"/>
    </xf>
    <xf numFmtId="164" fontId="65" fillId="0" borderId="79" xfId="0" applyNumberFormat="1" applyFont="1" applyFill="1" applyBorder="1" applyAlignment="1">
      <alignment horizontal="center"/>
    </xf>
    <xf numFmtId="164" fontId="65" fillId="0" borderId="80" xfId="0" applyNumberFormat="1" applyFont="1" applyFill="1" applyBorder="1" applyAlignment="1">
      <alignment horizontal="center"/>
    </xf>
    <xf numFmtId="164" fontId="65" fillId="0" borderId="81" xfId="0" applyNumberFormat="1" applyFont="1" applyFill="1" applyBorder="1" applyAlignment="1">
      <alignment horizontal="center"/>
    </xf>
    <xf numFmtId="164" fontId="65" fillId="0" borderId="82" xfId="0" applyNumberFormat="1" applyFont="1" applyFill="1" applyBorder="1" applyAlignment="1">
      <alignment horizontal="center"/>
    </xf>
    <xf numFmtId="0" fontId="64" fillId="65" borderId="70" xfId="0" applyFont="1" applyFill="1" applyBorder="1" applyAlignment="1">
      <alignment horizontal="left" wrapText="1"/>
    </xf>
    <xf numFmtId="164" fontId="65" fillId="0" borderId="83" xfId="0" applyNumberFormat="1" applyFont="1" applyFill="1" applyBorder="1" applyAlignment="1">
      <alignment horizontal="center"/>
    </xf>
    <xf numFmtId="164" fontId="65" fillId="0" borderId="84" xfId="0" applyNumberFormat="1" applyFont="1" applyFill="1" applyBorder="1" applyAlignment="1">
      <alignment horizontal="center"/>
    </xf>
    <xf numFmtId="164" fontId="65" fillId="0" borderId="85" xfId="0" applyNumberFormat="1" applyFont="1" applyFill="1" applyBorder="1" applyAlignment="1">
      <alignment horizontal="center"/>
    </xf>
    <xf numFmtId="164" fontId="65" fillId="0" borderId="86" xfId="0" applyNumberFormat="1" applyFont="1" applyFill="1" applyBorder="1" applyAlignment="1">
      <alignment horizontal="center"/>
    </xf>
    <xf numFmtId="0" fontId="64" fillId="66" borderId="70" xfId="0" applyFont="1" applyFill="1" applyBorder="1" applyAlignment="1">
      <alignment horizontal="left"/>
    </xf>
    <xf numFmtId="0" fontId="64" fillId="67" borderId="70" xfId="0" applyFont="1" applyFill="1" applyBorder="1" applyAlignment="1">
      <alignment horizontal="left"/>
    </xf>
    <xf numFmtId="164" fontId="65" fillId="0" borderId="87" xfId="0" applyNumberFormat="1" applyFont="1" applyFill="1" applyBorder="1" applyAlignment="1">
      <alignment horizontal="center"/>
    </xf>
    <xf numFmtId="164" fontId="65" fillId="0" borderId="88" xfId="0" applyNumberFormat="1" applyFont="1" applyFill="1" applyBorder="1" applyAlignment="1">
      <alignment horizontal="center"/>
    </xf>
    <xf numFmtId="164" fontId="65" fillId="0" borderId="89" xfId="0" applyNumberFormat="1" applyFont="1" applyFill="1" applyBorder="1" applyAlignment="1">
      <alignment horizontal="center"/>
    </xf>
    <xf numFmtId="164" fontId="65" fillId="0" borderId="90" xfId="0" applyNumberFormat="1" applyFont="1" applyFill="1" applyBorder="1" applyAlignment="1">
      <alignment horizontal="center"/>
    </xf>
    <xf numFmtId="0" fontId="67" fillId="68" borderId="70" xfId="0" applyFont="1" applyFill="1" applyBorder="1" applyAlignment="1">
      <alignment horizontal="left"/>
    </xf>
    <xf numFmtId="164" fontId="65" fillId="0" borderId="91" xfId="0" applyNumberFormat="1" applyFont="1" applyFill="1" applyBorder="1" applyAlignment="1">
      <alignment horizontal="center"/>
    </xf>
    <xf numFmtId="164" fontId="65" fillId="0" borderId="92" xfId="0" applyNumberFormat="1" applyFont="1" applyFill="1" applyBorder="1" applyAlignment="1">
      <alignment horizontal="center"/>
    </xf>
    <xf numFmtId="164" fontId="65" fillId="0" borderId="93" xfId="0" applyNumberFormat="1" applyFont="1" applyFill="1" applyBorder="1" applyAlignment="1">
      <alignment horizontal="center"/>
    </xf>
    <xf numFmtId="164" fontId="65" fillId="0" borderId="94" xfId="0" applyNumberFormat="1" applyFont="1" applyFill="1" applyBorder="1" applyAlignment="1">
      <alignment horizontal="center"/>
    </xf>
    <xf numFmtId="0" fontId="64" fillId="69" borderId="70" xfId="0" applyFont="1" applyFill="1" applyBorder="1" applyAlignment="1">
      <alignment horizontal="left"/>
    </xf>
    <xf numFmtId="0" fontId="64" fillId="70" borderId="70" xfId="0" applyFont="1" applyFill="1" applyBorder="1" applyAlignment="1">
      <alignment horizontal="left"/>
    </xf>
    <xf numFmtId="0" fontId="68" fillId="71" borderId="70" xfId="0" applyFont="1" applyFill="1" applyBorder="1" applyAlignment="1">
      <alignment horizontal="left"/>
    </xf>
    <xf numFmtId="0" fontId="69" fillId="72" borderId="95" xfId="1" applyFont="1" applyFill="1" applyBorder="1" applyAlignment="1">
      <alignment horizontal="left" vertical="center"/>
    </xf>
    <xf numFmtId="0" fontId="64" fillId="73" borderId="70" xfId="0" applyFont="1" applyFill="1" applyBorder="1" applyAlignment="1">
      <alignment horizontal="left" vertical="center"/>
    </xf>
    <xf numFmtId="0" fontId="64" fillId="74" borderId="70" xfId="1" applyFont="1" applyFill="1" applyBorder="1" applyAlignment="1">
      <alignment horizontal="left" vertical="center"/>
    </xf>
    <xf numFmtId="164" fontId="65" fillId="0" borderId="0" xfId="0" applyNumberFormat="1" applyFont="1" applyFill="1" applyBorder="1" applyAlignment="1">
      <alignment horizontal="center"/>
    </xf>
    <xf numFmtId="164" fontId="65" fillId="0" borderId="96" xfId="0" applyNumberFormat="1" applyFont="1" applyFill="1" applyBorder="1" applyAlignment="1">
      <alignment horizontal="center"/>
    </xf>
    <xf numFmtId="164" fontId="65" fillId="0" borderId="97" xfId="0" applyNumberFormat="1" applyFont="1" applyFill="1" applyBorder="1" applyAlignment="1">
      <alignment horizontal="center"/>
    </xf>
    <xf numFmtId="0" fontId="64" fillId="75" borderId="70" xfId="1" applyFont="1" applyFill="1" applyBorder="1" applyAlignment="1">
      <alignment horizontal="left" vertical="center"/>
    </xf>
    <xf numFmtId="0" fontId="64" fillId="76" borderId="98" xfId="0" applyFont="1" applyFill="1" applyBorder="1" applyAlignment="1">
      <alignment horizontal="left" vertical="center"/>
    </xf>
    <xf numFmtId="164" fontId="65" fillId="0" borderId="99" xfId="0" applyNumberFormat="1" applyFont="1" applyFill="1" applyBorder="1" applyAlignment="1">
      <alignment horizontal="center"/>
    </xf>
    <xf numFmtId="164" fontId="65" fillId="0" borderId="100" xfId="0" applyNumberFormat="1" applyFont="1" applyFill="1" applyBorder="1" applyAlignment="1">
      <alignment horizontal="center"/>
    </xf>
    <xf numFmtId="0" fontId="70" fillId="0" borderId="7" xfId="0" applyFont="1" applyBorder="1"/>
    <xf numFmtId="164" fontId="65" fillId="0" borderId="101" xfId="0" applyNumberFormat="1" applyFont="1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64" fontId="65" fillId="0" borderId="7" xfId="0" applyNumberFormat="1" applyFont="1" applyBorder="1" applyAlignment="1">
      <alignment horizontal="center"/>
    </xf>
    <xf numFmtId="2" fontId="65" fillId="0" borderId="101" xfId="0" applyNumberFormat="1" applyFont="1" applyBorder="1" applyAlignment="1">
      <alignment horizontal="center"/>
    </xf>
    <xf numFmtId="2" fontId="65" fillId="0" borderId="102" xfId="0" applyNumberFormat="1" applyFont="1" applyBorder="1" applyAlignment="1">
      <alignment horizontal="center"/>
    </xf>
    <xf numFmtId="2" fontId="65" fillId="0" borderId="103" xfId="0" applyNumberFormat="1" applyFont="1" applyBorder="1" applyAlignment="1">
      <alignment horizontal="center"/>
    </xf>
    <xf numFmtId="2" fontId="65" fillId="0" borderId="7" xfId="0" applyNumberFormat="1" applyFont="1" applyBorder="1" applyAlignment="1">
      <alignment horizontal="center"/>
    </xf>
    <xf numFmtId="17" fontId="64" fillId="0" borderId="104" xfId="0" applyNumberFormat="1" applyFont="1" applyFill="1" applyBorder="1" applyAlignment="1">
      <alignment horizontal="center" vertical="center" textRotation="90"/>
    </xf>
    <xf numFmtId="17" fontId="64" fillId="0" borderId="105" xfId="0" applyNumberFormat="1" applyFont="1" applyFill="1" applyBorder="1" applyAlignment="1">
      <alignment horizontal="center" vertical="center" textRotation="90"/>
    </xf>
    <xf numFmtId="17" fontId="64" fillId="0" borderId="106" xfId="0" applyNumberFormat="1" applyFont="1" applyFill="1" applyBorder="1" applyAlignment="1">
      <alignment horizontal="center" vertical="center" textRotation="90"/>
    </xf>
    <xf numFmtId="17" fontId="64" fillId="0" borderId="107" xfId="0" applyNumberFormat="1" applyFont="1" applyFill="1" applyBorder="1" applyAlignment="1">
      <alignment horizontal="center" vertical="center" textRotation="90"/>
    </xf>
    <xf numFmtId="0" fontId="64" fillId="0" borderId="69" xfId="0" applyFont="1" applyBorder="1" applyAlignment="1">
      <alignment horizontal="center" vertical="center" textRotation="90"/>
    </xf>
    <xf numFmtId="164" fontId="65" fillId="0" borderId="108" xfId="0" applyNumberFormat="1" applyFont="1" applyFill="1" applyBorder="1" applyAlignment="1">
      <alignment horizontal="center"/>
    </xf>
    <xf numFmtId="164" fontId="65" fillId="0" borderId="109" xfId="0" applyNumberFormat="1" applyFont="1" applyFill="1" applyBorder="1" applyAlignment="1">
      <alignment horizontal="center"/>
    </xf>
    <xf numFmtId="164" fontId="65" fillId="0" borderId="110" xfId="0" applyNumberFormat="1" applyFont="1" applyFill="1" applyBorder="1" applyAlignment="1">
      <alignment horizontal="center"/>
    </xf>
    <xf numFmtId="164" fontId="65" fillId="0" borderId="74" xfId="0" applyNumberFormat="1" applyFont="1" applyBorder="1" applyAlignment="1">
      <alignment horizontal="center"/>
    </xf>
    <xf numFmtId="164" fontId="65" fillId="0" borderId="111" xfId="0" applyNumberFormat="1" applyFont="1" applyFill="1" applyBorder="1" applyAlignment="1">
      <alignment horizontal="center"/>
    </xf>
    <xf numFmtId="164" fontId="65" fillId="0" borderId="112" xfId="0" applyNumberFormat="1" applyFont="1" applyFill="1" applyBorder="1" applyAlignment="1">
      <alignment horizontal="center"/>
    </xf>
    <xf numFmtId="164" fontId="65" fillId="0" borderId="113" xfId="0" applyNumberFormat="1" applyFont="1" applyFill="1" applyBorder="1" applyAlignment="1">
      <alignment horizontal="center"/>
    </xf>
    <xf numFmtId="164" fontId="65" fillId="0" borderId="78" xfId="0" applyNumberFormat="1" applyFont="1" applyBorder="1" applyAlignment="1">
      <alignment horizontal="center"/>
    </xf>
    <xf numFmtId="164" fontId="65" fillId="0" borderId="114" xfId="0" applyNumberFormat="1" applyFont="1" applyFill="1" applyBorder="1" applyAlignment="1">
      <alignment horizontal="center"/>
    </xf>
    <xf numFmtId="164" fontId="65" fillId="0" borderId="115" xfId="0" applyNumberFormat="1" applyFont="1" applyFill="1" applyBorder="1" applyAlignment="1">
      <alignment horizontal="center"/>
    </xf>
    <xf numFmtId="164" fontId="65" fillId="0" borderId="116" xfId="0" applyNumberFormat="1" applyFont="1" applyFill="1" applyBorder="1" applyAlignment="1">
      <alignment horizontal="center"/>
    </xf>
    <xf numFmtId="164" fontId="65" fillId="0" borderId="82" xfId="0" applyNumberFormat="1" applyFont="1" applyBorder="1" applyAlignment="1">
      <alignment horizontal="center"/>
    </xf>
    <xf numFmtId="164" fontId="65" fillId="0" borderId="117" xfId="0" applyNumberFormat="1" applyFont="1" applyFill="1" applyBorder="1" applyAlignment="1">
      <alignment horizontal="center"/>
    </xf>
    <xf numFmtId="164" fontId="65" fillId="0" borderId="118" xfId="0" applyNumberFormat="1" applyFont="1" applyFill="1" applyBorder="1" applyAlignment="1">
      <alignment horizontal="center"/>
    </xf>
    <xf numFmtId="164" fontId="65" fillId="0" borderId="119" xfId="0" applyNumberFormat="1" applyFont="1" applyFill="1" applyBorder="1" applyAlignment="1">
      <alignment horizontal="center"/>
    </xf>
    <xf numFmtId="164" fontId="65" fillId="0" borderId="86" xfId="0" applyNumberFormat="1" applyFont="1" applyBorder="1" applyAlignment="1">
      <alignment horizontal="center"/>
    </xf>
    <xf numFmtId="164" fontId="65" fillId="0" borderId="120" xfId="0" applyNumberFormat="1" applyFont="1" applyFill="1" applyBorder="1" applyAlignment="1">
      <alignment horizontal="center"/>
    </xf>
    <xf numFmtId="164" fontId="65" fillId="0" borderId="121" xfId="0" applyNumberFormat="1" applyFont="1" applyFill="1" applyBorder="1" applyAlignment="1">
      <alignment horizontal="center"/>
    </xf>
    <xf numFmtId="164" fontId="65" fillId="0" borderId="122" xfId="0" applyNumberFormat="1" applyFont="1" applyFill="1" applyBorder="1" applyAlignment="1">
      <alignment horizontal="center"/>
    </xf>
    <xf numFmtId="164" fontId="65" fillId="0" borderId="90" xfId="0" applyNumberFormat="1" applyFont="1" applyBorder="1" applyAlignment="1">
      <alignment horizontal="center"/>
    </xf>
    <xf numFmtId="164" fontId="65" fillId="0" borderId="123" xfId="0" applyNumberFormat="1" applyFont="1" applyFill="1" applyBorder="1" applyAlignment="1">
      <alignment horizontal="center"/>
    </xf>
    <xf numFmtId="164" fontId="65" fillId="0" borderId="124" xfId="0" applyNumberFormat="1" applyFont="1" applyFill="1" applyBorder="1" applyAlignment="1">
      <alignment horizontal="center"/>
    </xf>
    <xf numFmtId="164" fontId="65" fillId="0" borderId="125" xfId="0" applyNumberFormat="1" applyFont="1" applyFill="1" applyBorder="1" applyAlignment="1">
      <alignment horizontal="center"/>
    </xf>
    <xf numFmtId="164" fontId="65" fillId="0" borderId="94" xfId="0" applyNumberFormat="1" applyFont="1" applyBorder="1" applyAlignment="1">
      <alignment horizontal="center"/>
    </xf>
    <xf numFmtId="0" fontId="65" fillId="0" borderId="111" xfId="0" applyFont="1" applyFill="1" applyBorder="1" applyAlignment="1">
      <alignment horizontal="center"/>
    </xf>
    <xf numFmtId="0" fontId="65" fillId="0" borderId="112" xfId="0" applyFont="1" applyFill="1" applyBorder="1" applyAlignment="1">
      <alignment horizontal="center"/>
    </xf>
    <xf numFmtId="0" fontId="65" fillId="0" borderId="1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64" fontId="65" fillId="0" borderId="101" xfId="0" applyNumberFormat="1" applyFon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64" fontId="0" fillId="0" borderId="103" xfId="0" applyNumberForma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7" fontId="71" fillId="77" borderId="126" xfId="0" applyNumberFormat="1" applyFont="1" applyFill="1" applyBorder="1" applyAlignment="1">
      <alignment horizontal="center" vertical="center" textRotation="89"/>
    </xf>
    <xf numFmtId="0" fontId="72" fillId="0" borderId="127" xfId="0" applyFont="1" applyBorder="1" applyAlignment="1">
      <alignment horizontal="center" vertical="center" textRotation="89"/>
    </xf>
    <xf numFmtId="0" fontId="64" fillId="77" borderId="128" xfId="0" applyFont="1" applyFill="1" applyBorder="1" applyAlignment="1">
      <alignment horizontal="center" vertical="center" textRotation="90" wrapText="1"/>
    </xf>
    <xf numFmtId="0" fontId="64" fillId="77" borderId="129" xfId="0" applyFont="1" applyFill="1" applyBorder="1" applyAlignment="1">
      <alignment horizontal="center" vertical="center" textRotation="90" wrapText="1"/>
    </xf>
    <xf numFmtId="0" fontId="64" fillId="77" borderId="130" xfId="0" applyFont="1" applyFill="1" applyBorder="1" applyAlignment="1">
      <alignment horizontal="center" vertical="center" textRotation="90" wrapText="1"/>
    </xf>
    <xf numFmtId="0" fontId="64" fillId="77" borderId="131" xfId="0" applyFont="1" applyFill="1" applyBorder="1" applyAlignment="1">
      <alignment horizontal="center" vertical="center" textRotation="90" wrapText="1"/>
    </xf>
    <xf numFmtId="0" fontId="64" fillId="77" borderId="132" xfId="0" applyFont="1" applyFill="1" applyBorder="1" applyAlignment="1">
      <alignment horizontal="center" vertical="center" textRotation="90" wrapText="1"/>
    </xf>
    <xf numFmtId="0" fontId="64" fillId="77" borderId="133" xfId="0" applyFont="1" applyFill="1" applyBorder="1" applyAlignment="1">
      <alignment horizontal="center" vertical="center" textRotation="90" wrapText="1"/>
    </xf>
    <xf numFmtId="0" fontId="73" fillId="62" borderId="6" xfId="0" applyFont="1" applyFill="1" applyBorder="1"/>
    <xf numFmtId="0" fontId="73" fillId="77" borderId="0" xfId="0" applyFont="1" applyFill="1" applyBorder="1"/>
    <xf numFmtId="164" fontId="73" fillId="77" borderId="0" xfId="0" applyNumberFormat="1" applyFont="1" applyFill="1" applyBorder="1" applyAlignment="1">
      <alignment horizontal="center" vertical="center"/>
    </xf>
    <xf numFmtId="164" fontId="73" fillId="77" borderId="134" xfId="0" applyNumberFormat="1" applyFont="1" applyFill="1" applyBorder="1" applyAlignment="1">
      <alignment horizontal="center" vertical="center"/>
    </xf>
    <xf numFmtId="164" fontId="73" fillId="77" borderId="16" xfId="0" applyNumberFormat="1" applyFont="1" applyFill="1" applyBorder="1" applyAlignment="1">
      <alignment horizontal="center" vertical="center"/>
    </xf>
    <xf numFmtId="0" fontId="73" fillId="77" borderId="6" xfId="0" applyFont="1" applyFill="1" applyBorder="1"/>
    <xf numFmtId="0" fontId="74" fillId="62" borderId="0" xfId="0" applyFont="1" applyFill="1" applyBorder="1" applyAlignment="1">
      <alignment wrapText="1"/>
    </xf>
    <xf numFmtId="164" fontId="74" fillId="62" borderId="0" xfId="0" applyNumberFormat="1" applyFont="1" applyFill="1" applyBorder="1" applyAlignment="1">
      <alignment horizontal="center" vertical="center"/>
    </xf>
    <xf numFmtId="164" fontId="74" fillId="62" borderId="16" xfId="0" applyNumberFormat="1" applyFont="1" applyFill="1" applyBorder="1" applyAlignment="1">
      <alignment horizontal="center" vertical="center"/>
    </xf>
    <xf numFmtId="0" fontId="73" fillId="63" borderId="6" xfId="0" applyFont="1" applyFill="1" applyBorder="1"/>
    <xf numFmtId="0" fontId="73" fillId="77" borderId="0" xfId="0" applyFont="1" applyFill="1" applyBorder="1" applyAlignment="1">
      <alignment wrapText="1"/>
    </xf>
    <xf numFmtId="0" fontId="74" fillId="63" borderId="0" xfId="0" applyFont="1" applyFill="1" applyBorder="1" applyAlignment="1">
      <alignment wrapText="1"/>
    </xf>
    <xf numFmtId="164" fontId="74" fillId="63" borderId="0" xfId="0" applyNumberFormat="1" applyFont="1" applyFill="1" applyBorder="1" applyAlignment="1">
      <alignment horizontal="center" vertical="center"/>
    </xf>
    <xf numFmtId="164" fontId="74" fillId="63" borderId="16" xfId="0" applyNumberFormat="1" applyFont="1" applyFill="1" applyBorder="1" applyAlignment="1">
      <alignment horizontal="center" vertical="center"/>
    </xf>
    <xf numFmtId="0" fontId="73" fillId="4" borderId="6" xfId="0" applyFont="1" applyFill="1" applyBorder="1"/>
    <xf numFmtId="0" fontId="73" fillId="4" borderId="0" xfId="0" applyFont="1" applyFill="1" applyBorder="1"/>
    <xf numFmtId="164" fontId="73" fillId="4" borderId="0" xfId="0" applyNumberFormat="1" applyFont="1" applyFill="1" applyBorder="1" applyAlignment="1">
      <alignment horizontal="center"/>
    </xf>
    <xf numFmtId="164" fontId="73" fillId="4" borderId="16" xfId="0" applyNumberFormat="1" applyFont="1" applyFill="1" applyBorder="1" applyAlignment="1">
      <alignment horizontal="center"/>
    </xf>
    <xf numFmtId="0" fontId="73" fillId="64" borderId="6" xfId="0" applyFont="1" applyFill="1" applyBorder="1"/>
    <xf numFmtId="0" fontId="74" fillId="64" borderId="0" xfId="0" applyFont="1" applyFill="1" applyBorder="1" applyAlignment="1">
      <alignment wrapText="1"/>
    </xf>
    <xf numFmtId="164" fontId="74" fillId="64" borderId="0" xfId="0" applyNumberFormat="1" applyFont="1" applyFill="1" applyBorder="1" applyAlignment="1">
      <alignment horizontal="center" vertical="center"/>
    </xf>
    <xf numFmtId="164" fontId="74" fillId="64" borderId="16" xfId="0" applyNumberFormat="1" applyFont="1" applyFill="1" applyBorder="1" applyAlignment="1">
      <alignment horizontal="center" vertical="center"/>
    </xf>
    <xf numFmtId="0" fontId="74" fillId="64" borderId="0" xfId="0" applyFont="1" applyFill="1" applyBorder="1"/>
    <xf numFmtId="0" fontId="73" fillId="65" borderId="6" xfId="0" applyFont="1" applyFill="1" applyBorder="1" applyAlignment="1">
      <alignment horizontal="left"/>
    </xf>
    <xf numFmtId="0" fontId="74" fillId="65" borderId="0" xfId="0" applyFont="1" applyFill="1" applyBorder="1" applyAlignment="1">
      <alignment horizontal="left" wrapText="1"/>
    </xf>
    <xf numFmtId="164" fontId="74" fillId="65" borderId="0" xfId="0" applyNumberFormat="1" applyFont="1" applyFill="1" applyBorder="1" applyAlignment="1">
      <alignment horizontal="center" vertical="center"/>
    </xf>
    <xf numFmtId="164" fontId="74" fillId="65" borderId="0" xfId="0" applyNumberFormat="1" applyFont="1" applyFill="1" applyBorder="1" applyAlignment="1">
      <alignment horizontal="center" vertical="center"/>
    </xf>
    <xf numFmtId="164" fontId="74" fillId="65" borderId="16" xfId="0" applyNumberFormat="1" applyFont="1" applyFill="1" applyBorder="1" applyAlignment="1">
      <alignment horizontal="center" vertical="center"/>
    </xf>
    <xf numFmtId="0" fontId="73" fillId="77" borderId="6" xfId="0" applyFont="1" applyFill="1" applyBorder="1" applyAlignment="1">
      <alignment horizontal="center"/>
    </xf>
    <xf numFmtId="0" fontId="75" fillId="68" borderId="6" xfId="0" applyFont="1" applyFill="1" applyBorder="1"/>
    <xf numFmtId="0" fontId="76" fillId="77" borderId="0" xfId="0" applyFont="1" applyFill="1" applyBorder="1" applyAlignment="1">
      <alignment wrapText="1"/>
    </xf>
    <xf numFmtId="164" fontId="76" fillId="77" borderId="0" xfId="0" applyNumberFormat="1" applyFont="1" applyFill="1" applyBorder="1" applyAlignment="1">
      <alignment horizontal="center" vertical="center"/>
    </xf>
    <xf numFmtId="164" fontId="76" fillId="77" borderId="16" xfId="0" applyNumberFormat="1" applyFont="1" applyFill="1" applyBorder="1" applyAlignment="1">
      <alignment horizontal="center" vertical="center"/>
    </xf>
    <xf numFmtId="0" fontId="76" fillId="77" borderId="6" xfId="0" applyFont="1" applyFill="1" applyBorder="1"/>
    <xf numFmtId="0" fontId="77" fillId="68" borderId="0" xfId="0" applyFont="1" applyFill="1" applyBorder="1" applyAlignment="1">
      <alignment wrapText="1"/>
    </xf>
    <xf numFmtId="164" fontId="77" fillId="68" borderId="0" xfId="0" applyNumberFormat="1" applyFont="1" applyFill="1" applyBorder="1" applyAlignment="1">
      <alignment horizontal="center" vertical="center"/>
    </xf>
    <xf numFmtId="164" fontId="77" fillId="68" borderId="16" xfId="0" applyNumberFormat="1" applyFont="1" applyFill="1" applyBorder="1" applyAlignment="1">
      <alignment horizontal="center" vertical="center"/>
    </xf>
    <xf numFmtId="0" fontId="73" fillId="78" borderId="6" xfId="0" applyFont="1" applyFill="1" applyBorder="1"/>
    <xf numFmtId="0" fontId="74" fillId="78" borderId="0" xfId="0" applyFont="1" applyFill="1" applyBorder="1"/>
    <xf numFmtId="164" fontId="74" fillId="78" borderId="0" xfId="0" applyNumberFormat="1" applyFont="1" applyFill="1" applyBorder="1" applyAlignment="1">
      <alignment horizontal="center" vertical="center"/>
    </xf>
    <xf numFmtId="164" fontId="74" fillId="78" borderId="16" xfId="0" applyNumberFormat="1" applyFont="1" applyFill="1" applyBorder="1" applyAlignment="1">
      <alignment horizontal="center" vertical="center"/>
    </xf>
    <xf numFmtId="0" fontId="74" fillId="77" borderId="6" xfId="0" applyFont="1" applyFill="1" applyBorder="1"/>
    <xf numFmtId="0" fontId="73" fillId="70" borderId="6" xfId="0" applyFont="1" applyFill="1" applyBorder="1"/>
    <xf numFmtId="0" fontId="74" fillId="70" borderId="0" xfId="0" applyFont="1" applyFill="1" applyBorder="1"/>
    <xf numFmtId="164" fontId="74" fillId="70" borderId="0" xfId="0" applyNumberFormat="1" applyFont="1" applyFill="1" applyBorder="1" applyAlignment="1">
      <alignment horizontal="center" vertical="center"/>
    </xf>
    <xf numFmtId="164" fontId="74" fillId="70" borderId="16" xfId="0" applyNumberFormat="1" applyFont="1" applyFill="1" applyBorder="1" applyAlignment="1">
      <alignment horizontal="center" vertical="center"/>
    </xf>
    <xf numFmtId="0" fontId="78" fillId="71" borderId="6" xfId="0" applyFont="1" applyFill="1" applyBorder="1"/>
    <xf numFmtId="0" fontId="79" fillId="71" borderId="0" xfId="0" applyFont="1" applyFill="1" applyBorder="1"/>
    <xf numFmtId="164" fontId="79" fillId="71" borderId="0" xfId="0" applyNumberFormat="1" applyFont="1" applyFill="1" applyBorder="1" applyAlignment="1">
      <alignment horizontal="center" vertical="center"/>
    </xf>
    <xf numFmtId="164" fontId="79" fillId="71" borderId="16" xfId="0" applyNumberFormat="1" applyFont="1" applyFill="1" applyBorder="1" applyAlignment="1">
      <alignment horizontal="center" vertical="center"/>
    </xf>
    <xf numFmtId="0" fontId="75" fillId="79" borderId="6" xfId="0" applyFont="1" applyFill="1" applyBorder="1"/>
    <xf numFmtId="0" fontId="77" fillId="79" borderId="0" xfId="0" applyFont="1" applyFill="1" applyBorder="1" applyAlignment="1">
      <alignment wrapText="1"/>
    </xf>
    <xf numFmtId="164" fontId="77" fillId="79" borderId="0" xfId="0" applyNumberFormat="1" applyFont="1" applyFill="1" applyBorder="1" applyAlignment="1">
      <alignment horizontal="center" vertical="center"/>
    </xf>
    <xf numFmtId="164" fontId="77" fillId="79" borderId="16" xfId="0" applyNumberFormat="1" applyFont="1" applyFill="1" applyBorder="1" applyAlignment="1">
      <alignment horizontal="center" vertical="center"/>
    </xf>
    <xf numFmtId="0" fontId="73" fillId="80" borderId="6" xfId="0" applyFont="1" applyFill="1" applyBorder="1"/>
    <xf numFmtId="0" fontId="73" fillId="80" borderId="0" xfId="0" applyFont="1" applyFill="1" applyBorder="1" applyAlignment="1">
      <alignment wrapText="1"/>
    </xf>
    <xf numFmtId="164" fontId="73" fillId="80" borderId="0" xfId="0" applyNumberFormat="1" applyFont="1" applyFill="1" applyBorder="1" applyAlignment="1">
      <alignment horizontal="center" vertical="center"/>
    </xf>
    <xf numFmtId="164" fontId="73" fillId="80" borderId="16" xfId="0" applyNumberFormat="1" applyFont="1" applyFill="1" applyBorder="1" applyAlignment="1">
      <alignment horizontal="center" vertical="center"/>
    </xf>
    <xf numFmtId="0" fontId="73" fillId="81" borderId="6" xfId="0" applyFont="1" applyFill="1" applyBorder="1"/>
    <xf numFmtId="0" fontId="74" fillId="81" borderId="0" xfId="0" applyFont="1" applyFill="1" applyBorder="1"/>
    <xf numFmtId="164" fontId="74" fillId="81" borderId="0" xfId="0" applyNumberFormat="1" applyFont="1" applyFill="1" applyBorder="1" applyAlignment="1">
      <alignment horizontal="center" vertical="center"/>
    </xf>
    <xf numFmtId="164" fontId="74" fillId="81" borderId="16" xfId="0" applyNumberFormat="1" applyFont="1" applyFill="1" applyBorder="1" applyAlignment="1">
      <alignment horizontal="center" vertical="center"/>
    </xf>
    <xf numFmtId="0" fontId="75" fillId="82" borderId="6" xfId="0" applyFont="1" applyFill="1" applyBorder="1"/>
    <xf numFmtId="0" fontId="73" fillId="82" borderId="0" xfId="0" applyFont="1" applyFill="1" applyBorder="1" applyAlignment="1">
      <alignment wrapText="1"/>
    </xf>
    <xf numFmtId="164" fontId="75" fillId="82" borderId="0" xfId="0" applyNumberFormat="1" applyFont="1" applyFill="1" applyBorder="1" applyAlignment="1">
      <alignment horizontal="center" vertical="center"/>
    </xf>
    <xf numFmtId="164" fontId="75" fillId="82" borderId="16" xfId="0" applyNumberFormat="1" applyFont="1" applyFill="1" applyBorder="1" applyAlignment="1">
      <alignment horizontal="center" vertical="center"/>
    </xf>
    <xf numFmtId="0" fontId="73" fillId="74" borderId="6" xfId="0" applyFont="1" applyFill="1" applyBorder="1"/>
    <xf numFmtId="0" fontId="73" fillId="74" borderId="0" xfId="0" applyFont="1" applyFill="1" applyBorder="1" applyAlignment="1">
      <alignment wrapText="1"/>
    </xf>
    <xf numFmtId="164" fontId="73" fillId="74" borderId="0" xfId="0" applyNumberFormat="1" applyFont="1" applyFill="1" applyBorder="1" applyAlignment="1">
      <alignment horizontal="center" vertical="center"/>
    </xf>
    <xf numFmtId="164" fontId="73" fillId="74" borderId="16" xfId="0" applyNumberFormat="1" applyFont="1" applyFill="1" applyBorder="1" applyAlignment="1">
      <alignment horizontal="center" vertical="center"/>
    </xf>
    <xf numFmtId="0" fontId="73" fillId="77" borderId="4" xfId="0" applyFont="1" applyFill="1" applyBorder="1"/>
    <xf numFmtId="0" fontId="73" fillId="77" borderId="135" xfId="0" applyFont="1" applyFill="1" applyBorder="1"/>
    <xf numFmtId="164" fontId="73" fillId="77" borderId="135" xfId="0" applyNumberFormat="1" applyFont="1" applyFill="1" applyBorder="1" applyAlignment="1">
      <alignment horizontal="center" vertical="center"/>
    </xf>
    <xf numFmtId="164" fontId="73" fillId="77" borderId="5" xfId="0" applyNumberFormat="1" applyFont="1" applyFill="1" applyBorder="1" applyAlignment="1">
      <alignment horizontal="center" vertical="center"/>
    </xf>
    <xf numFmtId="0" fontId="73" fillId="75" borderId="6" xfId="0" applyFont="1" applyFill="1" applyBorder="1"/>
    <xf numFmtId="0" fontId="73" fillId="75" borderId="0" xfId="0" applyFont="1" applyFill="1" applyBorder="1" applyAlignment="1">
      <alignment wrapText="1"/>
    </xf>
    <xf numFmtId="164" fontId="73" fillId="75" borderId="0" xfId="0" applyNumberFormat="1" applyFont="1" applyFill="1" applyBorder="1" applyAlignment="1">
      <alignment horizontal="center" vertical="center"/>
    </xf>
    <xf numFmtId="164" fontId="73" fillId="75" borderId="16" xfId="0" applyNumberFormat="1" applyFont="1" applyFill="1" applyBorder="1" applyAlignment="1">
      <alignment horizontal="center" vertical="center"/>
    </xf>
    <xf numFmtId="0" fontId="73" fillId="72" borderId="0" xfId="0" applyFont="1" applyFill="1" applyBorder="1" applyAlignment="1">
      <alignment wrapText="1"/>
    </xf>
    <xf numFmtId="164" fontId="75" fillId="72" borderId="0" xfId="0" applyNumberFormat="1" applyFont="1" applyFill="1" applyBorder="1" applyAlignment="1">
      <alignment horizontal="center" vertical="center"/>
    </xf>
    <xf numFmtId="164" fontId="75" fillId="72" borderId="16" xfId="0" applyNumberFormat="1" applyFont="1" applyFill="1" applyBorder="1" applyAlignment="1">
      <alignment horizontal="center" vertical="center"/>
    </xf>
  </cellXfs>
  <cellStyles count="489"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4" xfId="15"/>
    <cellStyle name="20% - Accent1 4" xfId="16"/>
    <cellStyle name="20% - Accent1 5" xfId="17"/>
    <cellStyle name="20% - Accent2 2" xfId="18"/>
    <cellStyle name="20% - Accent2 2 2" xfId="19"/>
    <cellStyle name="20% - Accent2 3" xfId="20"/>
    <cellStyle name="20% - Accent2 3 2" xfId="21"/>
    <cellStyle name="20% - Accent2 3 2 2" xfId="22"/>
    <cellStyle name="20% - Accent2 3 2 2 2" xfId="23"/>
    <cellStyle name="20% - Accent2 3 2 3" xfId="24"/>
    <cellStyle name="20% - Accent2 3 3" xfId="25"/>
    <cellStyle name="20% - Accent2 3 3 2" xfId="26"/>
    <cellStyle name="20% - Accent2 3 4" xfId="27"/>
    <cellStyle name="20% - Accent2 4" xfId="28"/>
    <cellStyle name="20% - Accent2 5" xfId="29"/>
    <cellStyle name="20% - Accent3 2" xfId="30"/>
    <cellStyle name="20% - Accent3 2 2" xfId="31"/>
    <cellStyle name="20% - Accent3 3" xfId="32"/>
    <cellStyle name="20% - Accent3 3 2" xfId="33"/>
    <cellStyle name="20% - Accent3 3 2 2" xfId="34"/>
    <cellStyle name="20% - Accent3 3 2 2 2" xfId="35"/>
    <cellStyle name="20% - Accent3 3 2 3" xfId="36"/>
    <cellStyle name="20% - Accent3 3 3" xfId="37"/>
    <cellStyle name="20% - Accent3 3 3 2" xfId="38"/>
    <cellStyle name="20% - Accent3 3 4" xfId="39"/>
    <cellStyle name="20% - Accent3 4" xfId="40"/>
    <cellStyle name="20% - Accent3 5" xfId="41"/>
    <cellStyle name="20% - Accent4 2" xfId="42"/>
    <cellStyle name="20% - Accent4 2 2" xfId="43"/>
    <cellStyle name="20% - Accent4 3" xfId="44"/>
    <cellStyle name="20% - Accent4 3 2" xfId="45"/>
    <cellStyle name="20% - Accent4 3 2 2" xfId="46"/>
    <cellStyle name="20% - Accent4 3 2 2 2" xfId="47"/>
    <cellStyle name="20% - Accent4 3 2 3" xfId="48"/>
    <cellStyle name="20% - Accent4 3 3" xfId="49"/>
    <cellStyle name="20% - Accent4 3 3 2" xfId="50"/>
    <cellStyle name="20% - Accent4 3 4" xfId="51"/>
    <cellStyle name="20% - Accent4 4" xfId="52"/>
    <cellStyle name="20% - Accent4 5" xfId="53"/>
    <cellStyle name="20% - Accent5 2" xfId="54"/>
    <cellStyle name="20% - Accent5 2 2" xfId="55"/>
    <cellStyle name="20% - Accent5 3" xfId="56"/>
    <cellStyle name="20% - Accent5 3 2" xfId="57"/>
    <cellStyle name="20% - Accent5 3 2 2" xfId="58"/>
    <cellStyle name="20% - Accent5 3 2 2 2" xfId="59"/>
    <cellStyle name="20% - Accent5 3 2 3" xfId="60"/>
    <cellStyle name="20% - Accent5 3 3" xfId="61"/>
    <cellStyle name="20% - Accent5 3 3 2" xfId="62"/>
    <cellStyle name="20% - Accent5 3 4" xfId="63"/>
    <cellStyle name="20% - Accent5 4" xfId="64"/>
    <cellStyle name="20% - Accent5 5" xfId="65"/>
    <cellStyle name="20% - Accent6 2" xfId="66"/>
    <cellStyle name="20% - Accent6 2 2" xfId="67"/>
    <cellStyle name="20% - Accent6 3" xfId="68"/>
    <cellStyle name="20% - Accent6 3 2" xfId="69"/>
    <cellStyle name="20% - Accent6 3 2 2" xfId="70"/>
    <cellStyle name="20% - Accent6 3 2 2 2" xfId="71"/>
    <cellStyle name="20% - Accent6 3 2 3" xfId="72"/>
    <cellStyle name="20% - Accent6 3 3" xfId="73"/>
    <cellStyle name="20% - Accent6 3 3 2" xfId="74"/>
    <cellStyle name="20% - Accent6 3 4" xfId="75"/>
    <cellStyle name="20% - Accent6 4" xfId="76"/>
    <cellStyle name="20% - Accent6 5" xfId="77"/>
    <cellStyle name="40% - Accent1 2" xfId="78"/>
    <cellStyle name="40% - Accent1 2 2" xfId="79"/>
    <cellStyle name="40% - Accent1 3" xfId="80"/>
    <cellStyle name="40% - Accent1 3 2" xfId="81"/>
    <cellStyle name="40% - Accent1 3 2 2" xfId="82"/>
    <cellStyle name="40% - Accent1 3 2 2 2" xfId="83"/>
    <cellStyle name="40% - Accent1 3 2 3" xfId="84"/>
    <cellStyle name="40% - Accent1 3 3" xfId="85"/>
    <cellStyle name="40% - Accent1 3 3 2" xfId="86"/>
    <cellStyle name="40% - Accent1 3 4" xfId="87"/>
    <cellStyle name="40% - Accent1 4" xfId="88"/>
    <cellStyle name="40% - Accent1 5" xfId="89"/>
    <cellStyle name="40% - Accent2 2" xfId="90"/>
    <cellStyle name="40% - Accent2 2 2" xfId="91"/>
    <cellStyle name="40% - Accent2 3" xfId="92"/>
    <cellStyle name="40% - Accent2 3 2" xfId="93"/>
    <cellStyle name="40% - Accent2 3 2 2" xfId="94"/>
    <cellStyle name="40% - Accent2 3 2 2 2" xfId="95"/>
    <cellStyle name="40% - Accent2 3 2 3" xfId="96"/>
    <cellStyle name="40% - Accent2 3 3" xfId="97"/>
    <cellStyle name="40% - Accent2 3 3 2" xfId="98"/>
    <cellStyle name="40% - Accent2 3 4" xfId="99"/>
    <cellStyle name="40% - Accent2 4" xfId="100"/>
    <cellStyle name="40% - Accent2 5" xfId="101"/>
    <cellStyle name="40% - Accent3 2" xfId="102"/>
    <cellStyle name="40% - Accent3 2 2" xfId="103"/>
    <cellStyle name="40% - Accent3 3" xfId="104"/>
    <cellStyle name="40% - Accent3 3 2" xfId="105"/>
    <cellStyle name="40% - Accent3 3 2 2" xfId="106"/>
    <cellStyle name="40% - Accent3 3 2 2 2" xfId="107"/>
    <cellStyle name="40% - Accent3 3 2 3" xfId="108"/>
    <cellStyle name="40% - Accent3 3 3" xfId="109"/>
    <cellStyle name="40% - Accent3 3 3 2" xfId="110"/>
    <cellStyle name="40% - Accent3 3 4" xfId="111"/>
    <cellStyle name="40% - Accent3 4" xfId="112"/>
    <cellStyle name="40% - Accent3 5" xfId="113"/>
    <cellStyle name="40% - Accent4 2" xfId="114"/>
    <cellStyle name="40% - Accent4 2 2" xfId="115"/>
    <cellStyle name="40% - Accent4 3" xfId="116"/>
    <cellStyle name="40% - Accent4 3 2" xfId="117"/>
    <cellStyle name="40% - Accent4 3 2 2" xfId="118"/>
    <cellStyle name="40% - Accent4 3 2 2 2" xfId="119"/>
    <cellStyle name="40% - Accent4 3 2 3" xfId="120"/>
    <cellStyle name="40% - Accent4 3 3" xfId="121"/>
    <cellStyle name="40% - Accent4 3 3 2" xfId="122"/>
    <cellStyle name="40% - Accent4 3 4" xfId="123"/>
    <cellStyle name="40% - Accent4 4" xfId="124"/>
    <cellStyle name="40% - Accent4 5" xfId="125"/>
    <cellStyle name="40% - Accent5 2" xfId="126"/>
    <cellStyle name="40% - Accent5 2 2" xfId="127"/>
    <cellStyle name="40% - Accent5 3" xfId="128"/>
    <cellStyle name="40% - Accent5 3 2" xfId="129"/>
    <cellStyle name="40% - Accent5 3 2 2" xfId="130"/>
    <cellStyle name="40% - Accent5 3 2 2 2" xfId="131"/>
    <cellStyle name="40% - Accent5 3 2 3" xfId="132"/>
    <cellStyle name="40% - Accent5 3 3" xfId="133"/>
    <cellStyle name="40% - Accent5 3 3 2" xfId="134"/>
    <cellStyle name="40% - Accent5 3 4" xfId="135"/>
    <cellStyle name="40% - Accent5 4" xfId="136"/>
    <cellStyle name="40% - Accent5 5" xfId="137"/>
    <cellStyle name="40% - Accent6 2" xfId="138"/>
    <cellStyle name="40% - Accent6 2 2" xfId="139"/>
    <cellStyle name="40% - Accent6 3" xfId="140"/>
    <cellStyle name="40% - Accent6 3 2" xfId="141"/>
    <cellStyle name="40% - Accent6 3 2 2" xfId="142"/>
    <cellStyle name="40% - Accent6 3 2 2 2" xfId="143"/>
    <cellStyle name="40% - Accent6 3 2 3" xfId="144"/>
    <cellStyle name="40% - Accent6 3 3" xfId="145"/>
    <cellStyle name="40% - Accent6 3 3 2" xfId="146"/>
    <cellStyle name="40% - Accent6 3 4" xfId="147"/>
    <cellStyle name="40% - Accent6 4" xfId="148"/>
    <cellStyle name="40% - Accent6 5" xfId="149"/>
    <cellStyle name="60% - Accent1 2" xfId="150"/>
    <cellStyle name="60% - Accent1 2 2" xfId="151"/>
    <cellStyle name="60% - Accent1 3" xfId="152"/>
    <cellStyle name="60% - Accent1 4" xfId="153"/>
    <cellStyle name="60% - Accent1 5" xfId="154"/>
    <cellStyle name="60% - Accent2 2" xfId="155"/>
    <cellStyle name="60% - Accent2 2 2" xfId="156"/>
    <cellStyle name="60% - Accent2 3" xfId="157"/>
    <cellStyle name="60% - Accent2 4" xfId="158"/>
    <cellStyle name="60% - Accent2 5" xfId="159"/>
    <cellStyle name="60% - Accent3 2" xfId="160"/>
    <cellStyle name="60% - Accent3 2 2" xfId="161"/>
    <cellStyle name="60% - Accent3 3" xfId="162"/>
    <cellStyle name="60% - Accent3 4" xfId="163"/>
    <cellStyle name="60% - Accent3 5" xfId="164"/>
    <cellStyle name="60% - Accent4 2" xfId="165"/>
    <cellStyle name="60% - Accent4 2 2" xfId="166"/>
    <cellStyle name="60% - Accent4 3" xfId="167"/>
    <cellStyle name="60% - Accent4 4" xfId="168"/>
    <cellStyle name="60% - Accent4 5" xfId="169"/>
    <cellStyle name="60% - Accent5 2" xfId="170"/>
    <cellStyle name="60% - Accent5 2 2" xfId="171"/>
    <cellStyle name="60% - Accent5 3" xfId="172"/>
    <cellStyle name="60% - Accent5 4" xfId="173"/>
    <cellStyle name="60% - Accent5 5" xfId="174"/>
    <cellStyle name="60% - Accent6 2" xfId="175"/>
    <cellStyle name="60% - Accent6 2 2" xfId="176"/>
    <cellStyle name="60% - Accent6 3" xfId="177"/>
    <cellStyle name="60% - Accent6 4" xfId="178"/>
    <cellStyle name="60% - Accent6 5" xfId="179"/>
    <cellStyle name="Accent1 2" xfId="180"/>
    <cellStyle name="Accent1 2 2" xfId="181"/>
    <cellStyle name="Accent1 3" xfId="182"/>
    <cellStyle name="Accent1 4" xfId="183"/>
    <cellStyle name="Accent1 5" xfId="184"/>
    <cellStyle name="Accent2 2" xfId="185"/>
    <cellStyle name="Accent2 2 2" xfId="186"/>
    <cellStyle name="Accent2 3" xfId="187"/>
    <cellStyle name="Accent2 4" xfId="188"/>
    <cellStyle name="Accent2 5" xfId="189"/>
    <cellStyle name="Accent3 2" xfId="190"/>
    <cellStyle name="Accent3 2 2" xfId="191"/>
    <cellStyle name="Accent3 3" xfId="192"/>
    <cellStyle name="Accent3 4" xfId="193"/>
    <cellStyle name="Accent3 5" xfId="194"/>
    <cellStyle name="Accent4 2" xfId="195"/>
    <cellStyle name="Accent4 2 2" xfId="196"/>
    <cellStyle name="Accent4 3" xfId="197"/>
    <cellStyle name="Accent4 4" xfId="198"/>
    <cellStyle name="Accent4 5" xfId="199"/>
    <cellStyle name="Accent5 2" xfId="200"/>
    <cellStyle name="Accent5 2 2" xfId="201"/>
    <cellStyle name="Accent5 3" xfId="202"/>
    <cellStyle name="Accent5 4" xfId="203"/>
    <cellStyle name="Accent5 5" xfId="204"/>
    <cellStyle name="Accent6 2" xfId="205"/>
    <cellStyle name="Accent6 2 2" xfId="206"/>
    <cellStyle name="Accent6 3" xfId="207"/>
    <cellStyle name="Accent6 4" xfId="208"/>
    <cellStyle name="Accent6 5" xfId="209"/>
    <cellStyle name="Bad 2" xfId="210"/>
    <cellStyle name="Bad 2 2" xfId="211"/>
    <cellStyle name="Bad 3" xfId="212"/>
    <cellStyle name="Bad 4" xfId="213"/>
    <cellStyle name="Bad 5" xfId="214"/>
    <cellStyle name="Calculation 2" xfId="215"/>
    <cellStyle name="Calculation 2 2" xfId="216"/>
    <cellStyle name="Calculation 3" xfId="217"/>
    <cellStyle name="Calculation 4" xfId="218"/>
    <cellStyle name="Calculation 5" xfId="219"/>
    <cellStyle name="Check Cell 2" xfId="220"/>
    <cellStyle name="Check Cell 2 2" xfId="221"/>
    <cellStyle name="Check Cell 3" xfId="222"/>
    <cellStyle name="Check Cell 4" xfId="223"/>
    <cellStyle name="Check Cell 5" xfId="224"/>
    <cellStyle name="Comma 2" xfId="225"/>
    <cellStyle name="Comma 2 2" xfId="226"/>
    <cellStyle name="Comma 2 2 2" xfId="227"/>
    <cellStyle name="Comma 2 2 3" xfId="228"/>
    <cellStyle name="Comma 2 3" xfId="229"/>
    <cellStyle name="Comma 3" xfId="230"/>
    <cellStyle name="Comma 3 2" xfId="231"/>
    <cellStyle name="Comma 3 2 2" xfId="232"/>
    <cellStyle name="Comma 3 2 3" xfId="233"/>
    <cellStyle name="Comma 3 3" xfId="234"/>
    <cellStyle name="Comma 4" xfId="235"/>
    <cellStyle name="Comma 4 2" xfId="236"/>
    <cellStyle name="Comma 4 2 2" xfId="237"/>
    <cellStyle name="Comma 5" xfId="238"/>
    <cellStyle name="Comma 5 2" xfId="239"/>
    <cellStyle name="Comma 6" xfId="240"/>
    <cellStyle name="Comma 6 2" xfId="241"/>
    <cellStyle name="Currency 2" xfId="5"/>
    <cellStyle name="Currency 2 2" xfId="242"/>
    <cellStyle name="Currency 2 2 2" xfId="243"/>
    <cellStyle name="Currency 2 2 3" xfId="244"/>
    <cellStyle name="Currency 2 3" xfId="245"/>
    <cellStyle name="Currency 3" xfId="246"/>
    <cellStyle name="Currency 3 2" xfId="247"/>
    <cellStyle name="Currency 3 2 2" xfId="248"/>
    <cellStyle name="Currency 3 2 3" xfId="249"/>
    <cellStyle name="Currency 3 3" xfId="250"/>
    <cellStyle name="Currency 4" xfId="251"/>
    <cellStyle name="Currency 4 2" xfId="252"/>
    <cellStyle name="Currency 4 2 2" xfId="253"/>
    <cellStyle name="Currency 5" xfId="254"/>
    <cellStyle name="Currency 5 2" xfId="255"/>
    <cellStyle name="Explanatory Text 2" xfId="256"/>
    <cellStyle name="Explanatory Text 2 2" xfId="257"/>
    <cellStyle name="Explanatory Text 3" xfId="258"/>
    <cellStyle name="Explanatory Text 4" xfId="259"/>
    <cellStyle name="Explanatory Text 5" xfId="260"/>
    <cellStyle name="Good 2" xfId="261"/>
    <cellStyle name="Good 2 2" xfId="262"/>
    <cellStyle name="Good 3" xfId="263"/>
    <cellStyle name="Good 4" xfId="264"/>
    <cellStyle name="Good 5" xfId="265"/>
    <cellStyle name="Heading 1 2" xfId="266"/>
    <cellStyle name="Heading 1 2 2" xfId="267"/>
    <cellStyle name="Heading 1 3" xfId="268"/>
    <cellStyle name="Heading 1 4" xfId="269"/>
    <cellStyle name="Heading 1 5" xfId="270"/>
    <cellStyle name="Heading 2 2" xfId="271"/>
    <cellStyle name="Heading 2 2 2" xfId="272"/>
    <cellStyle name="Heading 2 3" xfId="273"/>
    <cellStyle name="Heading 2 4" xfId="274"/>
    <cellStyle name="Heading 2 5" xfId="275"/>
    <cellStyle name="Heading 3 2" xfId="276"/>
    <cellStyle name="Heading 3 2 2" xfId="277"/>
    <cellStyle name="Heading 3 3" xfId="278"/>
    <cellStyle name="Heading 3 4" xfId="279"/>
    <cellStyle name="Heading 3 5" xfId="280"/>
    <cellStyle name="Heading 4 2" xfId="281"/>
    <cellStyle name="Heading 4 2 2" xfId="282"/>
    <cellStyle name="Heading 4 3" xfId="283"/>
    <cellStyle name="Heading 4 4" xfId="284"/>
    <cellStyle name="Heading 4 5" xfId="285"/>
    <cellStyle name="Hyperlink 2" xfId="286"/>
    <cellStyle name="Input 2" xfId="287"/>
    <cellStyle name="Input 2 2" xfId="288"/>
    <cellStyle name="Input 3" xfId="289"/>
    <cellStyle name="Input 4" xfId="290"/>
    <cellStyle name="Input 5" xfId="291"/>
    <cellStyle name="Linked Cell 2" xfId="292"/>
    <cellStyle name="Linked Cell 2 2" xfId="293"/>
    <cellStyle name="Linked Cell 3" xfId="294"/>
    <cellStyle name="Linked Cell 4" xfId="295"/>
    <cellStyle name="Linked Cell 5" xfId="296"/>
    <cellStyle name="Neutral 2" xfId="297"/>
    <cellStyle name="Neutral 2 2" xfId="298"/>
    <cellStyle name="Neutral 3" xfId="299"/>
    <cellStyle name="Neutral 4" xfId="300"/>
    <cellStyle name="Neutral 5" xfId="301"/>
    <cellStyle name="Normal" xfId="0" builtinId="0"/>
    <cellStyle name="Normal 10" xfId="302"/>
    <cellStyle name="Normal 11" xfId="303"/>
    <cellStyle name="Normal 11 2" xfId="304"/>
    <cellStyle name="Normal 12" xfId="305"/>
    <cellStyle name="Normal 12 2" xfId="306"/>
    <cellStyle name="Normal 13" xfId="307"/>
    <cellStyle name="Normal 14" xfId="308"/>
    <cellStyle name="Normal 15" xfId="309"/>
    <cellStyle name="Normal 2" xfId="1"/>
    <cellStyle name="Normal 2 2" xfId="310"/>
    <cellStyle name="Normal 2 2 2" xfId="311"/>
    <cellStyle name="Normal 3" xfId="4"/>
    <cellStyle name="Normal 3 2" xfId="312"/>
    <cellStyle name="Normal 3 3" xfId="313"/>
    <cellStyle name="Normal 3 3 2" xfId="314"/>
    <cellStyle name="Normal 3 3 2 2" xfId="315"/>
    <cellStyle name="Normal 3 3 2 2 2" xfId="316"/>
    <cellStyle name="Normal 3 3 2 3" xfId="317"/>
    <cellStyle name="Normal 3 3 3" xfId="318"/>
    <cellStyle name="Normal 3 3 3 2" xfId="319"/>
    <cellStyle name="Normal 3 3 4" xfId="320"/>
    <cellStyle name="Normal 3 4" xfId="321"/>
    <cellStyle name="Normal 3 4 2" xfId="322"/>
    <cellStyle name="Normal 3 4 2 2" xfId="323"/>
    <cellStyle name="Normal 3 4 3" xfId="324"/>
    <cellStyle name="Normal 3 5" xfId="325"/>
    <cellStyle name="Normal 3 5 2" xfId="326"/>
    <cellStyle name="Normal 3 5 2 2" xfId="327"/>
    <cellStyle name="Normal 3 5 3" xfId="328"/>
    <cellStyle name="Normal 3 6" xfId="329"/>
    <cellStyle name="Normal 3 6 2" xfId="330"/>
    <cellStyle name="Normal 3 7" xfId="331"/>
    <cellStyle name="Normal 3 8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3" xfId="339"/>
    <cellStyle name="Normal 4 2 3 2" xfId="340"/>
    <cellStyle name="Normal 4 2 4" xfId="341"/>
    <cellStyle name="Normal 4 3" xfId="342"/>
    <cellStyle name="Normal 4 3 2" xfId="343"/>
    <cellStyle name="Normal 4 3 2 2" xfId="344"/>
    <cellStyle name="Normal 4 3 3" xfId="345"/>
    <cellStyle name="Normal 4 4" xfId="346"/>
    <cellStyle name="Normal 4 4 2" xfId="347"/>
    <cellStyle name="Normal 4 4 2 2" xfId="348"/>
    <cellStyle name="Normal 4 4 3" xfId="349"/>
    <cellStyle name="Normal 4 5" xfId="350"/>
    <cellStyle name="Normal 4 5 2" xfId="351"/>
    <cellStyle name="Normal 4 6" xfId="352"/>
    <cellStyle name="Normal 4 7" xfId="353"/>
    <cellStyle name="Normal 4 8" xfId="354"/>
    <cellStyle name="Normal 5" xfId="355"/>
    <cellStyle name="Normal 5 2" xfId="356"/>
    <cellStyle name="Normal 5 2 2" xfId="357"/>
    <cellStyle name="Normal 5 2 2 2" xfId="358"/>
    <cellStyle name="Normal 5 2 2 2 2" xfId="359"/>
    <cellStyle name="Normal 5 2 2 3" xfId="360"/>
    <cellStyle name="Normal 5 2 3" xfId="361"/>
    <cellStyle name="Normal 5 2 3 2" xfId="362"/>
    <cellStyle name="Normal 5 2 4" xfId="363"/>
    <cellStyle name="Normal 5 3" xfId="364"/>
    <cellStyle name="Normal 5 3 2" xfId="365"/>
    <cellStyle name="Normal 5 3 2 2" xfId="366"/>
    <cellStyle name="Normal 5 3 3" xfId="367"/>
    <cellStyle name="Normal 5 4" xfId="368"/>
    <cellStyle name="Normal 5 4 2" xfId="369"/>
    <cellStyle name="Normal 5 4 2 2" xfId="370"/>
    <cellStyle name="Normal 5 4 3" xfId="371"/>
    <cellStyle name="Normal 5 5" xfId="372"/>
    <cellStyle name="Normal 5 5 2" xfId="373"/>
    <cellStyle name="Normal 5 6" xfId="374"/>
    <cellStyle name="Normal 6" xfId="375"/>
    <cellStyle name="Normal 6 2" xfId="376"/>
    <cellStyle name="Normal 6 2 2" xfId="377"/>
    <cellStyle name="Normal 6 2 2 2" xfId="378"/>
    <cellStyle name="Normal 6 2 2 2 2" xfId="379"/>
    <cellStyle name="Normal 6 2 2 3" xfId="380"/>
    <cellStyle name="Normal 6 2 3" xfId="381"/>
    <cellStyle name="Normal 6 2 3 2" xfId="382"/>
    <cellStyle name="Normal 6 2 4" xfId="383"/>
    <cellStyle name="Normal 6 3" xfId="384"/>
    <cellStyle name="Normal 6 3 2" xfId="385"/>
    <cellStyle name="Normal 6 3 2 2" xfId="386"/>
    <cellStyle name="Normal 6 3 3" xfId="387"/>
    <cellStyle name="Normal 6 4" xfId="388"/>
    <cellStyle name="Normal 6 4 2" xfId="389"/>
    <cellStyle name="Normal 6 4 2 2" xfId="390"/>
    <cellStyle name="Normal 6 4 3" xfId="391"/>
    <cellStyle name="Normal 6 5" xfId="392"/>
    <cellStyle name="Normal 6 5 2" xfId="393"/>
    <cellStyle name="Normal 6 6" xfId="394"/>
    <cellStyle name="Normal 7" xfId="395"/>
    <cellStyle name="Normal 7 2" xfId="396"/>
    <cellStyle name="Normal 7 2 2" xfId="397"/>
    <cellStyle name="Normal 7 2 2 2" xfId="398"/>
    <cellStyle name="Normal 7 2 3" xfId="399"/>
    <cellStyle name="Normal 7 3" xfId="400"/>
    <cellStyle name="Normal 7 3 2" xfId="401"/>
    <cellStyle name="Normal 7 4" xfId="402"/>
    <cellStyle name="Normal 8" xfId="403"/>
    <cellStyle name="Normal 8 2" xfId="404"/>
    <cellStyle name="Normal 8 2 2" xfId="405"/>
    <cellStyle name="Normal 8 2 2 2" xfId="406"/>
    <cellStyle name="Normal 8 2 3" xfId="407"/>
    <cellStyle name="Normal 8 3" xfId="408"/>
    <cellStyle name="Normal 8 3 2" xfId="409"/>
    <cellStyle name="Normal 8 4" xfId="410"/>
    <cellStyle name="Normal 9" xfId="411"/>
    <cellStyle name="Normal 9 2" xfId="412"/>
    <cellStyle name="Normal 9 2 2" xfId="413"/>
    <cellStyle name="Normal 9 2 2 2" xfId="414"/>
    <cellStyle name="Normal 9 2 3" xfId="415"/>
    <cellStyle name="Normal 9 3" xfId="416"/>
    <cellStyle name="Normal 9 3 2" xfId="417"/>
    <cellStyle name="Normal 9 4" xfId="418"/>
    <cellStyle name="Normal_Data for graph" xfId="2"/>
    <cellStyle name="Normal_Sheet3" xfId="3"/>
    <cellStyle name="Note 2" xfId="419"/>
    <cellStyle name="Note 2 2" xfId="420"/>
    <cellStyle name="Note 2 2 2" xfId="421"/>
    <cellStyle name="Note 2 3" xfId="422"/>
    <cellStyle name="Note 2 4" xfId="423"/>
    <cellStyle name="Note 3" xfId="424"/>
    <cellStyle name="Note 3 2" xfId="425"/>
    <cellStyle name="Note 3 2 2" xfId="426"/>
    <cellStyle name="Note 3 2 2 2" xfId="427"/>
    <cellStyle name="Note 3 2 2 3" xfId="428"/>
    <cellStyle name="Note 3 2 3" xfId="429"/>
    <cellStyle name="Note 3 2 4" xfId="430"/>
    <cellStyle name="Note 3 3" xfId="431"/>
    <cellStyle name="Note 3 3 2" xfId="432"/>
    <cellStyle name="Note 3 3 3" xfId="433"/>
    <cellStyle name="Note 3 4" xfId="434"/>
    <cellStyle name="Note 3 5" xfId="435"/>
    <cellStyle name="Note 4" xfId="436"/>
    <cellStyle name="Note 4 2" xfId="437"/>
    <cellStyle name="Note 5" xfId="438"/>
    <cellStyle name="Note 6" xfId="439"/>
    <cellStyle name="Output 2" xfId="440"/>
    <cellStyle name="Output 2 2" xfId="441"/>
    <cellStyle name="Output 3" xfId="442"/>
    <cellStyle name="Output 4" xfId="443"/>
    <cellStyle name="Output 5" xfId="444"/>
    <cellStyle name="Percent 2" xfId="445"/>
    <cellStyle name="Percent 2 2" xfId="446"/>
    <cellStyle name="Percent 2 2 2" xfId="447"/>
    <cellStyle name="Percent 2 2 2 2" xfId="448"/>
    <cellStyle name="Percent 2 2 2 2 2" xfId="449"/>
    <cellStyle name="Percent 2 2 2 3" xfId="450"/>
    <cellStyle name="Percent 2 2 2 4" xfId="451"/>
    <cellStyle name="Percent 2 2 3" xfId="452"/>
    <cellStyle name="Percent 2 2 3 2" xfId="453"/>
    <cellStyle name="Percent 2 2 4" xfId="454"/>
    <cellStyle name="Percent 2 2 5" xfId="455"/>
    <cellStyle name="Percent 2 3" xfId="456"/>
    <cellStyle name="Percent 2 3 2" xfId="457"/>
    <cellStyle name="Percent 2 3 2 2" xfId="458"/>
    <cellStyle name="Percent 2 3 3" xfId="459"/>
    <cellStyle name="Percent 2 3 4" xfId="460"/>
    <cellStyle name="Percent 2 4" xfId="461"/>
    <cellStyle name="Percent 2 4 2" xfId="462"/>
    <cellStyle name="Percent 2 4 2 2" xfId="463"/>
    <cellStyle name="Percent 2 4 3" xfId="464"/>
    <cellStyle name="Percent 2 5" xfId="465"/>
    <cellStyle name="Percent 2 5 2" xfId="466"/>
    <cellStyle name="Percent 2 6" xfId="467"/>
    <cellStyle name="Percent 2 7" xfId="468"/>
    <cellStyle name="Percent 3" xfId="469"/>
    <cellStyle name="Percent 3 2" xfId="470"/>
    <cellStyle name="Percent 3 2 2" xfId="471"/>
    <cellStyle name="Percent 3 3" xfId="472"/>
    <cellStyle name="Percent 4" xfId="473"/>
    <cellStyle name="Percent 4 2" xfId="474"/>
    <cellStyle name="Percent 5" xfId="475"/>
    <cellStyle name="Title 2" xfId="476"/>
    <cellStyle name="Title 3" xfId="477"/>
    <cellStyle name="Title 4" xfId="478"/>
    <cellStyle name="Total 2" xfId="479"/>
    <cellStyle name="Total 2 2" xfId="480"/>
    <cellStyle name="Total 3" xfId="481"/>
    <cellStyle name="Total 4" xfId="482"/>
    <cellStyle name="Total 5" xfId="483"/>
    <cellStyle name="Warning Text 2" xfId="484"/>
    <cellStyle name="Warning Text 2 2" xfId="485"/>
    <cellStyle name="Warning Text 3" xfId="486"/>
    <cellStyle name="Warning Text 4" xfId="487"/>
    <cellStyle name="Warning Text 5" xfId="488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5_Reserve%20Strategy/Flexible%20STOR%20Providers/Assessment_VII/MBSS/New%20Process/MBSS_STOR_Process_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62</v>
          </cell>
        </row>
        <row r="7">
          <cell r="B7">
            <v>42795</v>
          </cell>
          <cell r="E7">
            <v>1424</v>
          </cell>
          <cell r="F7">
            <v>540</v>
          </cell>
          <cell r="G7">
            <v>386</v>
          </cell>
          <cell r="H7">
            <v>114</v>
          </cell>
          <cell r="I7">
            <v>284</v>
          </cell>
          <cell r="J7">
            <v>201</v>
          </cell>
          <cell r="K7">
            <v>1119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42826</v>
          </cell>
        </row>
        <row r="6">
          <cell r="C6">
            <v>42855</v>
          </cell>
        </row>
        <row r="7">
          <cell r="C7">
            <v>42826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42826</v>
          </cell>
          <cell r="F1">
            <v>42856</v>
          </cell>
          <cell r="G1">
            <v>42887</v>
          </cell>
          <cell r="H1">
            <v>42917</v>
          </cell>
          <cell r="I1">
            <v>42948</v>
          </cell>
          <cell r="J1">
            <v>42979</v>
          </cell>
          <cell r="K1">
            <v>43009</v>
          </cell>
          <cell r="L1">
            <v>43040</v>
          </cell>
          <cell r="M1">
            <v>43070</v>
          </cell>
          <cell r="N1">
            <v>43101</v>
          </cell>
          <cell r="O1">
            <v>43132</v>
          </cell>
          <cell r="P1">
            <v>43160</v>
          </cell>
          <cell r="Q1" t="str">
            <v>Mean</v>
          </cell>
          <cell r="R1" t="str">
            <v>Total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2451.3806199999999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8.3050925000001996E-2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6.9209104166668327E-3</v>
          </cell>
        </row>
        <row r="6">
          <cell r="E6">
            <v>7.0489908949999993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7.0489908949999993</v>
          </cell>
        </row>
        <row r="7">
          <cell r="E7">
            <v>7.1320418200000013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7.1320418200000013</v>
          </cell>
        </row>
        <row r="9">
          <cell r="E9">
            <v>6.79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0.5658333333333333</v>
          </cell>
        </row>
        <row r="10">
          <cell r="E10">
            <v>74.41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0.5658333333333333</v>
          </cell>
        </row>
        <row r="11">
          <cell r="E11">
            <v>5.3915352800000003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  <cell r="M11" t="e">
            <v>#VALUE!</v>
          </cell>
          <cell r="N11" t="e">
            <v>#VALUE!</v>
          </cell>
          <cell r="O11" t="e">
            <v>#VALUE!</v>
          </cell>
          <cell r="P11" t="e">
            <v>#VALUE!</v>
          </cell>
          <cell r="Q11">
            <v>0</v>
          </cell>
          <cell r="R11" t="e">
            <v>#VALUE!</v>
          </cell>
        </row>
        <row r="12">
          <cell r="E12">
            <v>0.42063267000000004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0.42063267000000004</v>
          </cell>
        </row>
        <row r="13">
          <cell r="E13">
            <v>27714.341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E14">
            <v>0</v>
          </cell>
          <cell r="F14">
            <v>0</v>
          </cell>
        </row>
        <row r="15">
          <cell r="P15">
            <v>0</v>
          </cell>
        </row>
        <row r="18">
          <cell r="E18">
            <v>393.41666666666663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32.784722222222221</v>
          </cell>
        </row>
        <row r="19">
          <cell r="E19">
            <v>242.05833333333334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20.171527777777779</v>
          </cell>
        </row>
        <row r="20">
          <cell r="E20">
            <v>516.03055555555557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43.002546296296295</v>
          </cell>
        </row>
        <row r="21">
          <cell r="E21">
            <v>2.16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0.18000000000000002</v>
          </cell>
        </row>
        <row r="22">
          <cell r="E22">
            <v>1.81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0.15083333333333335</v>
          </cell>
        </row>
        <row r="23">
          <cell r="E23">
            <v>3.94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0.32833333333333331</v>
          </cell>
        </row>
        <row r="24">
          <cell r="E24">
            <v>2.3896940300000002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R24">
            <v>2.3896940300000002</v>
          </cell>
        </row>
        <row r="25">
          <cell r="E25">
            <v>0.15160579000000002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R25">
            <v>0.15160579000000002</v>
          </cell>
        </row>
        <row r="26">
          <cell r="E26">
            <v>2.5412998200000003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 t="e">
            <v>#VALUE!</v>
          </cell>
        </row>
        <row r="27">
          <cell r="N27">
            <v>0</v>
          </cell>
        </row>
        <row r="29">
          <cell r="E29">
            <v>6.516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6.516</v>
          </cell>
        </row>
        <row r="30">
          <cell r="G30">
            <v>0</v>
          </cell>
        </row>
        <row r="31">
          <cell r="G31">
            <v>0</v>
          </cell>
        </row>
        <row r="32">
          <cell r="E32">
            <v>0.29605955999999989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0.29605955999999989</v>
          </cell>
        </row>
        <row r="33"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5">
          <cell r="E35">
            <v>18</v>
          </cell>
          <cell r="F35">
            <v>18</v>
          </cell>
          <cell r="G35">
            <v>18</v>
          </cell>
          <cell r="H35">
            <v>18</v>
          </cell>
          <cell r="I35">
            <v>18</v>
          </cell>
          <cell r="J35">
            <v>18</v>
          </cell>
          <cell r="K35">
            <v>18</v>
          </cell>
          <cell r="L35">
            <v>18</v>
          </cell>
          <cell r="M35">
            <v>18</v>
          </cell>
          <cell r="N35">
            <v>15</v>
          </cell>
          <cell r="O35">
            <v>15</v>
          </cell>
          <cell r="P35">
            <v>15</v>
          </cell>
        </row>
        <row r="36">
          <cell r="E36">
            <v>0.24692500000000006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0.24692500000000006</v>
          </cell>
        </row>
        <row r="37">
          <cell r="E37">
            <v>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E39">
            <v>1.3109999999999999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R39" t="e">
            <v>#N/A</v>
          </cell>
        </row>
        <row r="40">
          <cell r="E40">
            <v>624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E42">
            <v>4.0649619699999997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4.0649619699999997</v>
          </cell>
        </row>
        <row r="44">
          <cell r="E44">
            <v>2.7781899999999999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0.70124019999999998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0.70124019999999998</v>
          </cell>
        </row>
        <row r="48">
          <cell r="E48">
            <v>0.12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0.12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</row>
        <row r="50">
          <cell r="E50">
            <v>2.2205670720000084E-2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2.2205670720000084E-2</v>
          </cell>
        </row>
        <row r="51">
          <cell r="E51">
            <v>0.97999499999999995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0.97999499999999995</v>
          </cell>
        </row>
        <row r="52">
          <cell r="E52">
            <v>1.1222006707200001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1.1222006707200001</v>
          </cell>
        </row>
        <row r="53">
          <cell r="E53">
            <v>22.688506944444445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22.688506944444445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E55">
            <v>-0.17051627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-0.17051627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8">
          <cell r="E58">
            <v>389837.5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10.604354675000002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10.604354675000002</v>
          </cell>
        </row>
        <row r="61">
          <cell r="E61">
            <v>1040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G63">
            <v>0</v>
          </cell>
        </row>
        <row r="64">
          <cell r="E64">
            <v>175307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-213490.5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</row>
        <row r="78">
          <cell r="E78">
            <v>62.866242340164447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J78" t="e">
            <v>#VALUE!</v>
          </cell>
          <cell r="K78" t="e">
            <v>#VALUE!</v>
          </cell>
          <cell r="L78" t="e">
            <v>#VALUE!</v>
          </cell>
          <cell r="M78" t="e">
            <v>#VALUE!</v>
          </cell>
          <cell r="N78" t="e">
            <v>#VALUE!</v>
          </cell>
          <cell r="O78" t="e">
            <v>#VALUE!</v>
          </cell>
          <cell r="P78" t="e">
            <v>#VALUE!</v>
          </cell>
          <cell r="Q78">
            <v>6.9209104166668327E-3</v>
          </cell>
          <cell r="R78">
            <v>0</v>
          </cell>
        </row>
        <row r="80">
          <cell r="E80">
            <v>52.261887665164444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J80" t="e">
            <v>#VALUE!</v>
          </cell>
          <cell r="K80" t="e">
            <v>#VALUE!</v>
          </cell>
          <cell r="L80" t="e">
            <v>#VALUE!</v>
          </cell>
          <cell r="M80" t="e">
            <v>#VALUE!</v>
          </cell>
          <cell r="N80" t="e">
            <v>#VALUE!</v>
          </cell>
          <cell r="O80" t="e">
            <v>#VALUE!</v>
          </cell>
          <cell r="P80" t="e">
            <v>#VALUE!</v>
          </cell>
          <cell r="Q80" t="e">
            <v>#VALUE!</v>
          </cell>
          <cell r="R80">
            <v>0</v>
          </cell>
        </row>
      </sheetData>
      <sheetData sheetId="9">
        <row r="3">
          <cell r="B3">
            <v>42826</v>
          </cell>
          <cell r="C3">
            <v>42856</v>
          </cell>
          <cell r="D3">
            <v>42887</v>
          </cell>
          <cell r="E3">
            <v>42917</v>
          </cell>
          <cell r="F3">
            <v>42948</v>
          </cell>
          <cell r="G3">
            <v>42979</v>
          </cell>
          <cell r="H3">
            <v>43009</v>
          </cell>
          <cell r="I3">
            <v>43040</v>
          </cell>
          <cell r="J3">
            <v>43070</v>
          </cell>
          <cell r="K3">
            <v>43101</v>
          </cell>
          <cell r="L3">
            <v>43132</v>
          </cell>
          <cell r="M3">
            <v>43160</v>
          </cell>
        </row>
        <row r="4">
          <cell r="B4">
            <v>7.1320418200000013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1.3113630500000006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5.3915959200000012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2.5412998200000003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6.5163690899999995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0.29605955999999989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0.24692500000000006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1.1177462707200005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0.70124037453997989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4.0649619699999997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-0.17051627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0.42099999999999999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22.688506944444445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10.604354675000002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29.149086605259981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23.109506944444444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62.862948224704432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zoomScale="90" zoomScaleNormal="90" workbookViewId="0">
      <selection activeCell="F43" sqref="F43"/>
    </sheetView>
  </sheetViews>
  <sheetFormatPr defaultRowHeight="12.75" x14ac:dyDescent="0.2"/>
  <cols>
    <col min="1" max="1" width="36.28515625" style="31" customWidth="1"/>
    <col min="2" max="2" width="46.7109375" style="31" customWidth="1"/>
    <col min="3" max="3" width="14.5703125" style="98" customWidth="1"/>
    <col min="4" max="4" width="22.85546875" style="31" customWidth="1"/>
    <col min="5" max="16384" width="9.140625" style="31"/>
  </cols>
  <sheetData>
    <row r="1" spans="1:8" ht="29.25" customHeight="1" thickBot="1" x14ac:dyDescent="0.25">
      <c r="A1" s="27" t="s">
        <v>537</v>
      </c>
      <c r="B1" s="28" t="s">
        <v>538</v>
      </c>
      <c r="C1" s="29" t="s">
        <v>539</v>
      </c>
      <c r="D1" s="30" t="s">
        <v>540</v>
      </c>
      <c r="G1" s="32">
        <f>+C4+C5</f>
        <v>7.1320418200000013</v>
      </c>
      <c r="H1" s="32">
        <f>C14+C15</f>
        <v>2.5412998200000003</v>
      </c>
    </row>
    <row r="2" spans="1:8" x14ac:dyDescent="0.2">
      <c r="A2" s="33" t="s">
        <v>541</v>
      </c>
      <c r="B2" s="34" t="s">
        <v>542</v>
      </c>
      <c r="C2" s="35"/>
      <c r="D2" s="36" t="str">
        <f>ROUND(HLOOKUP(START_MTH,'[3]Summary sheet calculations'!$E$1:$R$80,3,0),0) &amp; "GVArh"</f>
        <v>0GVArh</v>
      </c>
    </row>
    <row r="3" spans="1:8" x14ac:dyDescent="0.2">
      <c r="A3" s="37"/>
      <c r="B3" s="38" t="s">
        <v>543</v>
      </c>
      <c r="C3" s="39"/>
      <c r="D3" s="40" t="str">
        <f>TEXT(ROUND(HLOOKUP(START_MTH,'[3]Summary sheet calculations'!$E$1:$R$80,4,0),0),"0,000") &amp; "GVArh"</f>
        <v>2,451GVArh</v>
      </c>
    </row>
    <row r="4" spans="1:8" x14ac:dyDescent="0.2">
      <c r="A4" s="37"/>
      <c r="B4" s="38" t="s">
        <v>606</v>
      </c>
      <c r="C4" s="41">
        <f>HLOOKUP(START_MTH,'[3]Summary sheet calculations'!$E$1:$R$80,5,0)</f>
        <v>8.3050925000001996E-2</v>
      </c>
      <c r="D4" s="37"/>
    </row>
    <row r="5" spans="1:8" x14ac:dyDescent="0.2">
      <c r="A5" s="42"/>
      <c r="B5" s="43" t="s">
        <v>544</v>
      </c>
      <c r="C5" s="44">
        <f>HLOOKUP(START_MTH,'[3]Summary sheet calculations'!$E$1:$R$80,6,0)</f>
        <v>7.0489908949999993</v>
      </c>
      <c r="D5" s="42"/>
    </row>
    <row r="6" spans="1:8" x14ac:dyDescent="0.2">
      <c r="A6" s="45" t="s">
        <v>545</v>
      </c>
      <c r="B6" s="46"/>
      <c r="C6" s="47"/>
      <c r="D6" s="45"/>
    </row>
    <row r="7" spans="1:8" ht="25.5" x14ac:dyDescent="0.2">
      <c r="A7" s="48" t="s">
        <v>546</v>
      </c>
      <c r="B7" s="49" t="s">
        <v>547</v>
      </c>
      <c r="C7" s="39"/>
      <c r="D7" s="50" t="str">
        <f>"£"&amp;HLOOKUP(START_MTH,'[3]Summary sheet calculations'!$E$1:$R$80,9,0)&amp;" /MWh"</f>
        <v>£6.79 /MWh</v>
      </c>
    </row>
    <row r="8" spans="1:8" x14ac:dyDescent="0.2">
      <c r="A8" s="37"/>
      <c r="B8" s="49" t="s">
        <v>548</v>
      </c>
      <c r="C8" s="39"/>
      <c r="D8" s="51" t="str">
        <f>"£"&amp;HLOOKUP(START_MTH,'[3]Summary sheet calculations'!$E$1:$R$80,10,0)&amp;" /MWh"</f>
        <v>£74.41 /MWh</v>
      </c>
    </row>
    <row r="9" spans="1:8" x14ac:dyDescent="0.2">
      <c r="A9" s="37"/>
      <c r="B9" s="49" t="s">
        <v>549</v>
      </c>
      <c r="C9" s="41">
        <f>SUM(HLOOKUP(START_MTH,'[3]Summary sheet calculations'!$E$1:$R$80,11,0)+HLOOKUP(START_MTH,'[3]Summary sheet calculations'!$E$1:$R$80,12,0))</f>
        <v>5.8121679500000001</v>
      </c>
      <c r="D9" s="37"/>
    </row>
    <row r="10" spans="1:8" x14ac:dyDescent="0.2">
      <c r="A10" s="42"/>
      <c r="B10" s="52" t="s">
        <v>550</v>
      </c>
      <c r="C10" s="44"/>
      <c r="D10" s="53" t="str">
        <f>TEXT(HLOOKUP(START_MTH,'[3]Summary sheet calculations'!$E$1:$R$80,13,0),"0,000")&amp;"MWh"</f>
        <v>27,714MWh</v>
      </c>
    </row>
    <row r="11" spans="1:8" x14ac:dyDescent="0.2">
      <c r="A11" s="45" t="s">
        <v>551</v>
      </c>
      <c r="B11" s="54" t="s">
        <v>552</v>
      </c>
      <c r="C11" s="47"/>
      <c r="D11" s="45" t="s">
        <v>553</v>
      </c>
    </row>
    <row r="12" spans="1:8" x14ac:dyDescent="0.2">
      <c r="A12" s="37"/>
      <c r="B12" s="49" t="s">
        <v>554</v>
      </c>
      <c r="C12" s="41"/>
      <c r="D12" s="37" t="str">
        <f xml:space="preserve"> ROUNDUP(HLOOKUP(START_MTH,'[3]Summary sheet calculations'!$E$1:$R$80,18,0),0)&amp; "             "&amp; ROUNDUP(HLOOKUP(START_MTH,'[3]Summary sheet calculations'!$E$1:$R$80,19,0),0) &amp;"       "&amp;  ROUNDUP(HLOOKUP(START_MTH,'[3]Summary sheet calculations'!$E$1:$R$80,20,0),0)</f>
        <v>394             243       517</v>
      </c>
    </row>
    <row r="13" spans="1:8" x14ac:dyDescent="0.2">
      <c r="A13" s="37"/>
      <c r="B13" s="49" t="s">
        <v>555</v>
      </c>
      <c r="C13" s="41"/>
      <c r="D13" s="37" t="str">
        <f xml:space="preserve"> ROUNDUP(HLOOKUP(START_MTH,'[3]Summary sheet calculations'!$E$1:$R$80,21,0),2)&amp; "           "&amp; ROUNDUP(HLOOKUP(START_MTH,'[3]Summary sheet calculations'!$E$1:$R$80,22,0),2) &amp;"      "&amp;  ROUNDUP(HLOOKUP(START_MTH,'[3]Summary sheet calculations'!$E$1:$R$80,23,0),2)</f>
        <v>2.16           1.81      3.94</v>
      </c>
    </row>
    <row r="14" spans="1:8" x14ac:dyDescent="0.2">
      <c r="A14" s="37"/>
      <c r="B14" s="55" t="s">
        <v>607</v>
      </c>
      <c r="C14" s="41">
        <f>HLOOKUP(START_MTH,'[3]Summary sheet calculations'!$E$1:$R$80,24,0)</f>
        <v>2.3896940300000002</v>
      </c>
      <c r="D14" s="37"/>
    </row>
    <row r="15" spans="1:8" x14ac:dyDescent="0.2">
      <c r="A15" s="42"/>
      <c r="B15" s="56" t="s">
        <v>556</v>
      </c>
      <c r="C15" s="44">
        <f>HLOOKUP(START_MTH,'[3]Summary sheet calculations'!$E$1:$R$80,25,0)</f>
        <v>0.15160579000000002</v>
      </c>
      <c r="D15" s="42"/>
    </row>
    <row r="16" spans="1:8" x14ac:dyDescent="0.2">
      <c r="A16" s="45" t="s">
        <v>557</v>
      </c>
      <c r="B16" s="54" t="s">
        <v>558</v>
      </c>
      <c r="C16" s="47"/>
      <c r="D16" s="57"/>
    </row>
    <row r="17" spans="1:4" x14ac:dyDescent="0.2">
      <c r="A17" s="42"/>
      <c r="B17" s="58" t="s">
        <v>608</v>
      </c>
      <c r="C17" s="59">
        <f>HLOOKUP(START_MTH,'[3]Summary sheet calculations'!$E$1:$R$80,29,0)</f>
        <v>6.516</v>
      </c>
      <c r="D17" s="42"/>
    </row>
    <row r="18" spans="1:4" x14ac:dyDescent="0.2">
      <c r="A18" s="60" t="s">
        <v>559</v>
      </c>
      <c r="B18" s="61" t="s">
        <v>560</v>
      </c>
      <c r="C18" s="62">
        <f>HLOOKUP(START_MTH,'[3]Summary sheet calculations'!$E$1:$R$80,32,0)</f>
        <v>0.29605955999999989</v>
      </c>
      <c r="D18" s="60"/>
    </row>
    <row r="19" spans="1:4" x14ac:dyDescent="0.2">
      <c r="A19" s="45" t="s">
        <v>561</v>
      </c>
      <c r="B19" s="54" t="s">
        <v>560</v>
      </c>
      <c r="C19" s="47">
        <f>HLOOKUP(START_MTH,'[3]Summary sheet calculations'!$E$1:$R$80,34,0)</f>
        <v>0</v>
      </c>
      <c r="D19" s="57"/>
    </row>
    <row r="20" spans="1:4" x14ac:dyDescent="0.2">
      <c r="A20" s="42"/>
      <c r="B20" s="58" t="s">
        <v>562</v>
      </c>
      <c r="C20" s="59"/>
      <c r="D20" s="63">
        <f>HLOOKUP(START_MTH,'[3]Summary sheet calculations'!$E$1:$R$80,35,0)</f>
        <v>18</v>
      </c>
    </row>
    <row r="21" spans="1:4" x14ac:dyDescent="0.2">
      <c r="A21" s="64" t="s">
        <v>563</v>
      </c>
      <c r="B21" s="65" t="s">
        <v>564</v>
      </c>
      <c r="C21" s="66">
        <f>HLOOKUP(START_MTH,'[3]Summary sheet calculations'!$E$1:$R$80,36,0)</f>
        <v>0.24692500000000006</v>
      </c>
      <c r="D21" s="64"/>
    </row>
    <row r="22" spans="1:4" x14ac:dyDescent="0.2">
      <c r="A22" s="67"/>
      <c r="B22" s="68" t="s">
        <v>565</v>
      </c>
      <c r="C22" s="69"/>
      <c r="D22" s="70">
        <f>HLOOKUP(START_MTH,'[3]Summary sheet calculations'!$E$1:$R$80,37,0)</f>
        <v>5</v>
      </c>
    </row>
    <row r="23" spans="1:4" x14ac:dyDescent="0.2">
      <c r="A23" s="45" t="s">
        <v>566</v>
      </c>
      <c r="B23" s="54" t="s">
        <v>567</v>
      </c>
      <c r="C23" s="47">
        <f>HLOOKUP(START_MTH,'[3]Summary sheet calculations'!$E$1:$R$80,39,0)</f>
        <v>1.3109999999999999</v>
      </c>
      <c r="D23" s="57"/>
    </row>
    <row r="24" spans="1:4" x14ac:dyDescent="0.2">
      <c r="A24" s="42"/>
      <c r="B24" s="58" t="s">
        <v>568</v>
      </c>
      <c r="C24" s="59"/>
      <c r="D24" s="63" t="str">
        <f>(HLOOKUP(START_MTH,'[3]Summary sheet calculations'!$E$1:$R$80,40,0)) &amp; "MW"</f>
        <v>624MW</v>
      </c>
    </row>
    <row r="25" spans="1:4" x14ac:dyDescent="0.2">
      <c r="A25" s="71" t="s">
        <v>569</v>
      </c>
      <c r="B25" s="72" t="s">
        <v>570</v>
      </c>
      <c r="C25" s="73">
        <f>HLOOKUP(START_MTH,'[3]Summary sheet calculations'!$E$1:$R$80,42,0)</f>
        <v>4.0649619699999997</v>
      </c>
      <c r="D25" s="71"/>
    </row>
    <row r="26" spans="1:4" x14ac:dyDescent="0.2">
      <c r="A26" s="45" t="s">
        <v>571</v>
      </c>
      <c r="B26" s="54" t="s">
        <v>572</v>
      </c>
      <c r="C26" s="74"/>
      <c r="D26" s="75" t="str">
        <f>ROUND(HLOOKUP(START_MTH,'[3]Summary sheet calculations'!$E$1:$R$80,44,0), 2) &amp; "GWh"</f>
        <v>2.78GWh</v>
      </c>
    </row>
    <row r="27" spans="1:4" x14ac:dyDescent="0.2">
      <c r="A27" s="37"/>
      <c r="B27" s="55" t="s">
        <v>573</v>
      </c>
      <c r="C27" s="76"/>
      <c r="D27" s="77" t="str">
        <f>ROUND(HLOOKUP(START_MTH,'[3]Summary sheet calculations'!$E$1:$R$80,45,0),2)&amp; "GWh"</f>
        <v>0GWh</v>
      </c>
    </row>
    <row r="28" spans="1:4" x14ac:dyDescent="0.2">
      <c r="A28" s="42"/>
      <c r="B28" s="58" t="s">
        <v>560</v>
      </c>
      <c r="C28" s="78">
        <f>HLOOKUP(START_MTH,'[3]Summary sheet calculations'!$E$1:$R$80,46,0)</f>
        <v>0.70124019999999998</v>
      </c>
      <c r="D28" s="42"/>
    </row>
    <row r="29" spans="1:4" ht="25.5" x14ac:dyDescent="0.2">
      <c r="A29" s="79" t="s">
        <v>574</v>
      </c>
      <c r="B29" s="54" t="s">
        <v>575</v>
      </c>
      <c r="C29" s="74">
        <f>HLOOKUP(START_MTH,'[3]Summary sheet calculations'!$E$1:$R$80,48,0)</f>
        <v>0.12</v>
      </c>
      <c r="D29" s="45"/>
    </row>
    <row r="30" spans="1:4" x14ac:dyDescent="0.2">
      <c r="A30" s="80"/>
      <c r="B30" s="58" t="s">
        <v>576</v>
      </c>
      <c r="C30" s="78">
        <f>HLOOKUP(START_MTH,'[3]Summary sheet calculations'!$E$1:$R$80,49,0)</f>
        <v>0</v>
      </c>
      <c r="D30" s="42"/>
    </row>
    <row r="31" spans="1:4" x14ac:dyDescent="0.2">
      <c r="A31" s="81" t="s">
        <v>577</v>
      </c>
      <c r="B31" s="82" t="s">
        <v>578</v>
      </c>
      <c r="C31" s="83">
        <f>HLOOKUP(START_MTH,'[3]Summary sheet calculations'!$E$1:$R$80,50,0)</f>
        <v>2.2205670720000084E-2</v>
      </c>
      <c r="D31" s="81"/>
    </row>
    <row r="32" spans="1:4" x14ac:dyDescent="0.2">
      <c r="A32" s="84" t="s">
        <v>579</v>
      </c>
      <c r="B32" s="85" t="s">
        <v>560</v>
      </c>
      <c r="C32" s="83">
        <f>HLOOKUP(START_MTH,'[3]Summary sheet calculations'!$E$1:$R$80,51,0)</f>
        <v>0.97999499999999995</v>
      </c>
      <c r="D32" s="81"/>
    </row>
    <row r="33" spans="1:4" x14ac:dyDescent="0.2">
      <c r="A33" s="84" t="s">
        <v>580</v>
      </c>
      <c r="B33" s="85" t="s">
        <v>560</v>
      </c>
      <c r="C33" s="83">
        <f>HLOOKUP(START_MTH,'[3]Summary sheet calculations'!$E$1:$R$80,53,0)</f>
        <v>22.688506944444445</v>
      </c>
      <c r="D33" s="81"/>
    </row>
    <row r="34" spans="1:4" x14ac:dyDescent="0.2">
      <c r="A34" s="86" t="s">
        <v>581</v>
      </c>
      <c r="B34" s="87" t="s">
        <v>582</v>
      </c>
      <c r="C34" s="88">
        <f>SUM(HLOOKUP(START_MTH,'[3]Summary sheet calculations'!$E$1:$R$80,50,0)+HLOOKUP(START_MTH,'[3]Summary sheet calculations'!$E$1:$R$80,51,0)+HLOOKUP(START_MTH,'[3]Summary sheet calculations'!$E$1:$R$80,53,0)+HLOOKUP(START_MTH,'[3]Summary sheet calculations'!$E$1:$R$80,48,0))</f>
        <v>23.810707615164446</v>
      </c>
      <c r="D34" s="88"/>
    </row>
    <row r="35" spans="1:4" x14ac:dyDescent="0.2">
      <c r="A35" s="81" t="s">
        <v>583</v>
      </c>
      <c r="B35" s="85" t="s">
        <v>560</v>
      </c>
      <c r="C35" s="83">
        <f>HLOOKUP(START_MTH,'[3]Summary sheet calculations'!$E$1:$R$80,54,0)</f>
        <v>0</v>
      </c>
      <c r="D35" s="81"/>
    </row>
    <row r="36" spans="1:4" x14ac:dyDescent="0.2">
      <c r="A36" s="81" t="s">
        <v>584</v>
      </c>
      <c r="B36" s="85" t="s">
        <v>560</v>
      </c>
      <c r="C36" s="83">
        <f>HLOOKUP(START_MTH,'[3]Summary sheet calculations'!$E$1:$R$80,55,0)</f>
        <v>-0.17051627</v>
      </c>
      <c r="D36" s="81"/>
    </row>
    <row r="37" spans="1:4" x14ac:dyDescent="0.2">
      <c r="A37" s="45" t="s">
        <v>585</v>
      </c>
      <c r="B37" s="54" t="s">
        <v>586</v>
      </c>
      <c r="C37" s="74"/>
      <c r="D37" s="75" t="str">
        <f>TEXT(ROUND(HLOOKUP(START_MTH,'[3]Summary sheet calculations'!$E$1:$R$80,58,0),0),"00,000") &amp;"MWh"</f>
        <v>389,838MWh</v>
      </c>
    </row>
    <row r="38" spans="1:4" x14ac:dyDescent="0.2">
      <c r="A38" s="37"/>
      <c r="B38" s="55" t="s">
        <v>587</v>
      </c>
      <c r="C38" s="89">
        <f>HLOOKUP(START_MTH,'[3]Summary sheet calculations'!$E$1:$R$80,59,0)</f>
        <v>10.604354675000002</v>
      </c>
      <c r="D38" s="37"/>
    </row>
    <row r="39" spans="1:4" x14ac:dyDescent="0.2">
      <c r="A39" s="37"/>
      <c r="B39" s="55" t="s">
        <v>588</v>
      </c>
      <c r="C39" s="89"/>
      <c r="D39" s="37"/>
    </row>
    <row r="40" spans="1:4" x14ac:dyDescent="0.2">
      <c r="A40" s="37"/>
      <c r="B40" s="55" t="s">
        <v>589</v>
      </c>
      <c r="C40" s="51"/>
      <c r="D40" s="40" t="str">
        <f>TEXT(ROUND(HLOOKUP(START_MTH,'[3]Summary sheet calculations'!$E$1:$R$80,61,0),0),"0,000") &amp; "MWh"</f>
        <v>1,040MWh</v>
      </c>
    </row>
    <row r="41" spans="1:4" x14ac:dyDescent="0.2">
      <c r="A41" s="37"/>
      <c r="B41" s="55" t="s">
        <v>590</v>
      </c>
      <c r="C41" s="90"/>
      <c r="D41" s="40" t="str">
        <f>ROUND(HLOOKUP(START_MTH,'[3]Summary sheet calculations'!$E$1:$R$80,62,0),0) &amp; "MWh"</f>
        <v>0MWh</v>
      </c>
    </row>
    <row r="42" spans="1:4" x14ac:dyDescent="0.2">
      <c r="A42" s="37"/>
      <c r="B42" s="55" t="s">
        <v>591</v>
      </c>
      <c r="C42" s="89"/>
      <c r="D42" s="90"/>
    </row>
    <row r="43" spans="1:4" x14ac:dyDescent="0.2">
      <c r="A43" s="37"/>
      <c r="B43" s="55" t="s">
        <v>589</v>
      </c>
      <c r="C43" s="51"/>
      <c r="D43" s="91" t="str">
        <f>TEXT(HLOOKUP(START_MTH,'[3]Summary sheet calculations'!$E$1:$R$80,64,0),"0,000") &amp; "MWh"</f>
        <v>175,307MWh</v>
      </c>
    </row>
    <row r="44" spans="1:4" x14ac:dyDescent="0.2">
      <c r="A44" s="42"/>
      <c r="B44" s="58" t="s">
        <v>590</v>
      </c>
      <c r="C44" s="92"/>
      <c r="D44" s="78" t="str">
        <f>TEXT(HLOOKUP(START_MTH,'[3]Summary sheet calculations'!$E$1:$R$80,65,0),"0,000") &amp; "MWh"</f>
        <v>-213,491MWh</v>
      </c>
    </row>
    <row r="45" spans="1:4" x14ac:dyDescent="0.2">
      <c r="A45" s="45" t="s">
        <v>592</v>
      </c>
      <c r="B45" s="54" t="s">
        <v>593</v>
      </c>
      <c r="C45" s="74"/>
      <c r="D45" s="45"/>
    </row>
    <row r="46" spans="1:4" x14ac:dyDescent="0.2">
      <c r="A46" s="37"/>
      <c r="B46" s="55" t="s">
        <v>594</v>
      </c>
      <c r="C46" s="51"/>
      <c r="D46" s="93">
        <f>HLOOKUP(START_MTH,'[3]Summary sheet calculations'!$E$1:$R$80,68,0)</f>
        <v>0</v>
      </c>
    </row>
    <row r="47" spans="1:4" x14ac:dyDescent="0.2">
      <c r="A47" s="37"/>
      <c r="B47" s="55" t="s">
        <v>595</v>
      </c>
      <c r="C47" s="51"/>
      <c r="D47" s="93">
        <f>HLOOKUP(START_MTH,'[3]Summary sheet calculations'!$E$1:$R$80,69,0)</f>
        <v>0</v>
      </c>
    </row>
    <row r="48" spans="1:4" x14ac:dyDescent="0.2">
      <c r="A48" s="37"/>
      <c r="B48" s="55" t="s">
        <v>596</v>
      </c>
      <c r="C48" s="89"/>
      <c r="D48" s="37"/>
    </row>
    <row r="49" spans="1:4" x14ac:dyDescent="0.2">
      <c r="A49" s="37"/>
      <c r="B49" s="55" t="s">
        <v>597</v>
      </c>
      <c r="C49" s="51"/>
      <c r="D49" s="94">
        <f>HLOOKUP(START_MTH,'[3]Summary sheet calculations'!$E$1:$R$80,71,0)</f>
        <v>0</v>
      </c>
    </row>
    <row r="50" spans="1:4" ht="13.5" customHeight="1" x14ac:dyDescent="0.2">
      <c r="A50" s="37"/>
      <c r="B50" s="55" t="s">
        <v>598</v>
      </c>
      <c r="C50" s="51"/>
      <c r="D50" s="94">
        <f>HLOOKUP(START_MTH,'[3]Summary sheet calculations'!$E$1:$R$80,72,0)</f>
        <v>0</v>
      </c>
    </row>
    <row r="51" spans="1:4" x14ac:dyDescent="0.2">
      <c r="A51" s="37"/>
      <c r="B51" s="55" t="s">
        <v>599</v>
      </c>
      <c r="C51" s="89"/>
      <c r="D51" s="37"/>
    </row>
    <row r="52" spans="1:4" x14ac:dyDescent="0.2">
      <c r="A52" s="37"/>
      <c r="B52" s="55" t="s">
        <v>600</v>
      </c>
      <c r="C52" s="51"/>
      <c r="D52" s="91" t="str">
        <f>ROUND(HLOOKUP(START_MTH,'[3]Summary sheet calculations'!$E$1:$R$80,74,0),0)  &amp; "MWh"</f>
        <v>0MWh</v>
      </c>
    </row>
    <row r="53" spans="1:4" x14ac:dyDescent="0.2">
      <c r="A53" s="37"/>
      <c r="B53" s="55" t="s">
        <v>598</v>
      </c>
      <c r="C53" s="51"/>
      <c r="D53" s="95">
        <f>ROUND(HLOOKUP(START_MTH,'[3]Summary sheet calculations'!$E$1:$R$80,75,0),0)</f>
        <v>0</v>
      </c>
    </row>
    <row r="54" spans="1:4" x14ac:dyDescent="0.2">
      <c r="A54" s="42"/>
      <c r="B54" s="58" t="s">
        <v>601</v>
      </c>
      <c r="C54" s="78">
        <f>HLOOKUP(START_MTH,'[3]Summary sheet calculations'!$E$1:$R$80,76,0)</f>
        <v>0</v>
      </c>
      <c r="D54" s="42"/>
    </row>
    <row r="55" spans="1:4" x14ac:dyDescent="0.2">
      <c r="A55" s="86" t="s">
        <v>602</v>
      </c>
      <c r="B55" s="87" t="s">
        <v>603</v>
      </c>
      <c r="C55" s="88">
        <f>(SUM(C2:C33)+SUM(C35:C54))</f>
        <v>62.866242340164447</v>
      </c>
      <c r="D55" s="88"/>
    </row>
    <row r="57" spans="1:4" x14ac:dyDescent="0.2">
      <c r="B57" s="96" t="s">
        <v>604</v>
      </c>
      <c r="C57" s="97">
        <f>ROUND(C55-HLOOKUP(START_MTH,[3]Summary!$B$3:$M$23,21,0),2)</f>
        <v>0</v>
      </c>
    </row>
    <row r="58" spans="1:4" x14ac:dyDescent="0.2">
      <c r="B58" s="96" t="s">
        <v>605</v>
      </c>
      <c r="C58" s="97">
        <f>ROUND(C55-HLOOKUP(START_MTH,'[3]Summary sheet calculations'!$E$1:$R$80,78,0),2)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56"/>
  <sheetViews>
    <sheetView showGridLines="0" zoomScale="70" workbookViewId="0">
      <pane xSplit="1" ySplit="2" topLeftCell="AU3" activePane="bottomRight" state="frozen"/>
      <selection pane="topRight" activeCell="B1" sqref="B1"/>
      <selection pane="bottomLeft" activeCell="A3" sqref="A3"/>
      <selection pane="bottomRight" activeCell="BM7" sqref="BM7"/>
    </sheetView>
  </sheetViews>
  <sheetFormatPr defaultRowHeight="12.75" customHeight="1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319" max="319" width="10.28515625" bestFit="1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575" max="575" width="10.28515625" bestFit="1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831" max="831" width="10.28515625" bestFit="1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087" max="1087" width="10.28515625" bestFit="1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343" max="1343" width="10.28515625" bestFit="1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599" max="1599" width="10.28515625" bestFit="1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1855" max="1855" width="10.28515625" bestFit="1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111" max="2111" width="10.28515625" bestFit="1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367" max="2367" width="10.28515625" bestFit="1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623" max="2623" width="10.28515625" bestFit="1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2879" max="2879" width="10.28515625" bestFit="1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135" max="3135" width="10.28515625" bestFit="1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391" max="3391" width="10.28515625" bestFit="1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647" max="3647" width="10.28515625" bestFit="1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3903" max="3903" width="10.28515625" bestFit="1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159" max="4159" width="10.28515625" bestFit="1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415" max="4415" width="10.28515625" bestFit="1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671" max="4671" width="10.28515625" bestFit="1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4927" max="4927" width="10.28515625" bestFit="1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183" max="5183" width="10.28515625" bestFit="1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439" max="5439" width="10.28515625" bestFit="1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695" max="5695" width="10.28515625" bestFit="1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5951" max="5951" width="10.28515625" bestFit="1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207" max="6207" width="10.28515625" bestFit="1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463" max="6463" width="10.28515625" bestFit="1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719" max="6719" width="10.28515625" bestFit="1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6975" max="6975" width="10.28515625" bestFit="1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231" max="7231" width="10.28515625" bestFit="1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487" max="7487" width="10.28515625" bestFit="1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743" max="7743" width="10.28515625" bestFit="1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7999" max="7999" width="10.28515625" bestFit="1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255" max="8255" width="10.28515625" bestFit="1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511" max="8511" width="10.28515625" bestFit="1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767" max="8767" width="10.28515625" bestFit="1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023" max="9023" width="10.28515625" bestFit="1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279" max="9279" width="10.28515625" bestFit="1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535" max="9535" width="10.28515625" bestFit="1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791" max="9791" width="10.28515625" bestFit="1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047" max="10047" width="10.28515625" bestFit="1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303" max="10303" width="10.28515625" bestFit="1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559" max="10559" width="10.28515625" bestFit="1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0815" max="10815" width="10.28515625" bestFit="1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071" max="11071" width="10.28515625" bestFit="1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327" max="11327" width="10.28515625" bestFit="1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583" max="11583" width="10.28515625" bestFit="1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1839" max="11839" width="10.28515625" bestFit="1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095" max="12095" width="10.28515625" bestFit="1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351" max="12351" width="10.28515625" bestFit="1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607" max="12607" width="10.28515625" bestFit="1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2863" max="12863" width="10.28515625" bestFit="1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119" max="13119" width="10.28515625" bestFit="1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375" max="13375" width="10.28515625" bestFit="1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631" max="13631" width="10.28515625" bestFit="1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3887" max="13887" width="10.28515625" bestFit="1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143" max="14143" width="10.28515625" bestFit="1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399" max="14399" width="10.28515625" bestFit="1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655" max="14655" width="10.28515625" bestFit="1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4911" max="14911" width="10.28515625" bestFit="1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167" max="15167" width="10.28515625" bestFit="1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423" max="15423" width="10.28515625" bestFit="1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679" max="15679" width="10.28515625" bestFit="1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5935" max="15935" width="10.28515625" bestFit="1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  <col min="16191" max="16191" width="10.28515625" bestFit="1" customWidth="1"/>
  </cols>
  <sheetData>
    <row r="1" spans="1:68" ht="19.5" customHeight="1" thickBot="1" x14ac:dyDescent="0.25">
      <c r="A1" s="1"/>
      <c r="B1" s="190" t="s">
        <v>0</v>
      </c>
      <c r="C1" s="191"/>
      <c r="D1" s="191"/>
      <c r="E1" s="191"/>
      <c r="F1" s="191"/>
      <c r="G1" s="192"/>
      <c r="H1" s="190" t="s">
        <v>1</v>
      </c>
      <c r="I1" s="191"/>
      <c r="J1" s="191"/>
      <c r="K1" s="191"/>
      <c r="L1" s="191"/>
      <c r="M1" s="192"/>
      <c r="N1" s="190" t="s">
        <v>2</v>
      </c>
      <c r="O1" s="191"/>
      <c r="P1" s="191"/>
      <c r="Q1" s="191"/>
      <c r="R1" s="191"/>
      <c r="S1" s="192"/>
      <c r="T1" s="190" t="s">
        <v>3</v>
      </c>
      <c r="U1" s="191"/>
      <c r="V1" s="191"/>
      <c r="W1" s="191"/>
      <c r="X1" s="191"/>
      <c r="Y1" s="192"/>
      <c r="Z1" s="190" t="s">
        <v>4</v>
      </c>
      <c r="AA1" s="191"/>
      <c r="AB1" s="191"/>
      <c r="AC1" s="191"/>
      <c r="AD1" s="191"/>
      <c r="AE1" s="192"/>
      <c r="AF1" s="2"/>
      <c r="AG1" s="190" t="s">
        <v>5</v>
      </c>
      <c r="AH1" s="191"/>
      <c r="AI1" s="191"/>
      <c r="AJ1" s="191"/>
      <c r="AK1" s="191"/>
      <c r="AL1" s="192"/>
      <c r="AM1" s="190" t="s">
        <v>6</v>
      </c>
      <c r="AN1" s="191"/>
      <c r="AO1" s="191"/>
      <c r="AP1" s="191"/>
      <c r="AQ1" s="191"/>
      <c r="AR1" s="192"/>
      <c r="AS1" s="190" t="s">
        <v>7</v>
      </c>
      <c r="AT1" s="191"/>
      <c r="AU1" s="191"/>
      <c r="AV1" s="191"/>
      <c r="AW1" s="191"/>
      <c r="AX1" s="192"/>
      <c r="AY1" s="190" t="s">
        <v>483</v>
      </c>
      <c r="AZ1" s="191"/>
      <c r="BA1" s="191"/>
      <c r="BB1" s="191"/>
      <c r="BC1" s="191"/>
      <c r="BD1" s="192"/>
      <c r="BE1" s="190" t="s">
        <v>492</v>
      </c>
      <c r="BF1" s="191"/>
      <c r="BG1" s="191"/>
      <c r="BH1" s="191"/>
      <c r="BI1" s="191"/>
      <c r="BJ1" s="192"/>
      <c r="BK1" s="193" t="s">
        <v>609</v>
      </c>
      <c r="BL1" s="194"/>
      <c r="BM1" s="194"/>
      <c r="BN1" s="194"/>
      <c r="BO1" s="194"/>
      <c r="BP1" s="194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5">
        <v>42828</v>
      </c>
      <c r="BL3">
        <v>11.1</v>
      </c>
      <c r="BM3" t="s">
        <v>610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5">
        <v>42835</v>
      </c>
      <c r="BL4" s="26">
        <v>11.1</v>
      </c>
      <c r="BM4" t="s">
        <v>611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5">
        <v>42842</v>
      </c>
      <c r="BL5" s="26">
        <v>11.1</v>
      </c>
      <c r="BM5" t="s">
        <v>612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5">
        <v>42849</v>
      </c>
      <c r="BL6" s="26">
        <v>11.2</v>
      </c>
      <c r="BM6" t="s">
        <v>635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5">
        <v>42856</v>
      </c>
      <c r="BL7" s="26">
        <v>11.2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5">
        <v>42863</v>
      </c>
      <c r="BL8" s="26">
        <v>11.2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5">
        <v>42870</v>
      </c>
      <c r="BL9" s="26">
        <v>11.2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5">
        <v>42877</v>
      </c>
      <c r="BL10" s="26">
        <v>11.2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5">
        <v>42884</v>
      </c>
      <c r="BL11" s="26">
        <v>11.2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5">
        <v>42891</v>
      </c>
      <c r="BL12" s="26">
        <v>11.2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5">
        <v>42898</v>
      </c>
      <c r="BL13" s="26">
        <v>11.2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5">
        <v>42905</v>
      </c>
      <c r="BL14" s="26">
        <v>11.2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5">
        <v>42912</v>
      </c>
      <c r="BL15" s="26">
        <v>11.2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5">
        <v>42919</v>
      </c>
      <c r="BL16" s="26">
        <v>11.2</v>
      </c>
    </row>
    <row r="17" spans="1:64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5">
        <v>42926</v>
      </c>
      <c r="BL17" s="26">
        <v>11.2</v>
      </c>
    </row>
    <row r="18" spans="1:64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5">
        <v>42933</v>
      </c>
    </row>
    <row r="19" spans="1:64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5">
        <v>42940</v>
      </c>
    </row>
    <row r="20" spans="1:64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5">
        <v>42947</v>
      </c>
    </row>
    <row r="21" spans="1:64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5">
        <v>42954</v>
      </c>
    </row>
    <row r="22" spans="1:64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5">
        <v>42961</v>
      </c>
    </row>
    <row r="23" spans="1:64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5">
        <v>42968</v>
      </c>
    </row>
    <row r="24" spans="1:64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5">
        <v>42975</v>
      </c>
    </row>
    <row r="25" spans="1:64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5">
        <v>42982</v>
      </c>
    </row>
    <row r="26" spans="1:64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5">
        <v>42989</v>
      </c>
    </row>
    <row r="27" spans="1:64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5">
        <v>42996</v>
      </c>
    </row>
    <row r="28" spans="1:64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5">
        <v>43003</v>
      </c>
    </row>
    <row r="29" spans="1:64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5">
        <v>43010</v>
      </c>
    </row>
    <row r="30" spans="1:64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5">
        <v>43017</v>
      </c>
    </row>
    <row r="31" spans="1:64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5">
        <v>43024</v>
      </c>
    </row>
    <row r="32" spans="1:64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5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5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516</v>
      </c>
      <c r="BH34" s="15">
        <v>646</v>
      </c>
      <c r="BI34" s="15"/>
      <c r="BJ34" s="17">
        <v>815</v>
      </c>
      <c r="BK34" s="25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517</v>
      </c>
      <c r="BH35" s="15">
        <v>651</v>
      </c>
      <c r="BI35" s="15"/>
      <c r="BJ35" s="17">
        <v>810</v>
      </c>
      <c r="BK35" s="25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518</v>
      </c>
      <c r="BH36" s="15">
        <v>650</v>
      </c>
      <c r="BI36" s="15"/>
      <c r="BJ36" s="17">
        <v>811</v>
      </c>
      <c r="BK36" s="25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519</v>
      </c>
      <c r="BH37" s="15">
        <v>746</v>
      </c>
      <c r="BI37" s="15">
        <v>262</v>
      </c>
      <c r="BJ37" s="17">
        <v>453</v>
      </c>
      <c r="BK37" s="25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5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5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5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5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5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5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5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5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5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5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5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5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5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5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5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5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5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AM1:AR1"/>
    <mergeCell ref="AS1:AX1"/>
    <mergeCell ref="AY1:BD1"/>
    <mergeCell ref="BE1:BJ1"/>
    <mergeCell ref="BK1:BP1"/>
    <mergeCell ref="AG1:AL1"/>
    <mergeCell ref="B1:G1"/>
    <mergeCell ref="H1:M1"/>
    <mergeCell ref="N1:S1"/>
    <mergeCell ref="T1:Y1"/>
    <mergeCell ref="Z1:AE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C38" sqref="C38"/>
    </sheetView>
  </sheetViews>
  <sheetFormatPr defaultRowHeight="12.75" x14ac:dyDescent="0.2"/>
  <cols>
    <col min="1" max="1" width="23.42578125" bestFit="1" customWidth="1"/>
  </cols>
  <sheetData>
    <row r="1" spans="1:14" ht="13.5" thickBot="1" x14ac:dyDescent="0.25"/>
    <row r="2" spans="1:14" ht="47.25" x14ac:dyDescent="0.2">
      <c r="A2" s="99" t="s">
        <v>613</v>
      </c>
      <c r="B2" s="100">
        <v>42490</v>
      </c>
      <c r="C2" s="101">
        <v>42521</v>
      </c>
      <c r="D2" s="101">
        <v>42551</v>
      </c>
      <c r="E2" s="101">
        <v>42582</v>
      </c>
      <c r="F2" s="101">
        <v>42613</v>
      </c>
      <c r="G2" s="101">
        <v>42643</v>
      </c>
      <c r="H2" s="101">
        <v>42674</v>
      </c>
      <c r="I2" s="101">
        <v>42704</v>
      </c>
      <c r="J2" s="101">
        <v>42735</v>
      </c>
      <c r="K2" s="101">
        <v>42766</v>
      </c>
      <c r="L2" s="101">
        <v>42794</v>
      </c>
      <c r="M2" s="102">
        <v>42825</v>
      </c>
      <c r="N2" s="103" t="s">
        <v>614</v>
      </c>
    </row>
    <row r="3" spans="1:14" ht="13.5" thickBot="1" x14ac:dyDescent="0.25">
      <c r="A3" s="104" t="s">
        <v>615</v>
      </c>
      <c r="B3" s="105">
        <v>-3.1415267730000007</v>
      </c>
      <c r="C3" s="106">
        <v>-8.7633940499999987</v>
      </c>
      <c r="D3" s="106">
        <v>-4.2650847899999977</v>
      </c>
      <c r="E3" s="106">
        <v>-6.9958516590000004</v>
      </c>
      <c r="F3" s="106">
        <v>-7.6869850269999995</v>
      </c>
      <c r="G3" s="106">
        <v>-4.2279303999999982</v>
      </c>
      <c r="H3" s="106">
        <v>-8.2199081019999998</v>
      </c>
      <c r="I3" s="106">
        <v>-2.2755122889999995</v>
      </c>
      <c r="J3" s="106">
        <v>-8.342412003999998</v>
      </c>
      <c r="K3" s="106">
        <v>-5.0073746289999992</v>
      </c>
      <c r="L3" s="106">
        <v>-9.6631243760000007</v>
      </c>
      <c r="M3" s="107">
        <v>-11.766302687</v>
      </c>
      <c r="N3" s="108">
        <v>-80.355406785999975</v>
      </c>
    </row>
    <row r="4" spans="1:14" ht="14.25" thickTop="1" thickBot="1" x14ac:dyDescent="0.25">
      <c r="A4" s="109" t="s">
        <v>616</v>
      </c>
      <c r="B4" s="110">
        <v>2.0169460435973487</v>
      </c>
      <c r="C4" s="111">
        <v>5.6161255017475415</v>
      </c>
      <c r="D4" s="111">
        <v>10.350044581248918</v>
      </c>
      <c r="E4" s="111">
        <v>16.843356235047274</v>
      </c>
      <c r="F4" s="111">
        <v>10.287454080003497</v>
      </c>
      <c r="G4" s="111">
        <v>15.700240539380236</v>
      </c>
      <c r="H4" s="111">
        <v>27.700049078690476</v>
      </c>
      <c r="I4" s="111">
        <v>51.658980270637912</v>
      </c>
      <c r="J4" s="111">
        <v>9.3115936909062871</v>
      </c>
      <c r="K4" s="111">
        <v>10.627555771070226</v>
      </c>
      <c r="L4" s="111">
        <v>6.4701250057193347</v>
      </c>
      <c r="M4" s="112">
        <v>7.234956224311869</v>
      </c>
      <c r="N4" s="113">
        <v>173.81742702236093</v>
      </c>
    </row>
    <row r="5" spans="1:14" ht="14.25" thickTop="1" thickBot="1" x14ac:dyDescent="0.25">
      <c r="A5" s="114" t="s">
        <v>617</v>
      </c>
      <c r="B5" s="110">
        <v>0.19750001</v>
      </c>
      <c r="C5" s="111">
        <v>0.10795749999999998</v>
      </c>
      <c r="D5" s="111">
        <v>7.5737520000000003E-2</v>
      </c>
      <c r="E5" s="111">
        <v>1.1525166700000002</v>
      </c>
      <c r="F5" s="111">
        <v>1.5996333300000007</v>
      </c>
      <c r="G5" s="111">
        <v>1.3633675000000001</v>
      </c>
      <c r="H5" s="111">
        <v>0.49337243999999991</v>
      </c>
      <c r="I5" s="111">
        <v>0.48270134000000003</v>
      </c>
      <c r="J5" s="111">
        <v>0.14403555000000001</v>
      </c>
      <c r="K5" s="111">
        <v>0.39771882999999997</v>
      </c>
      <c r="L5" s="111">
        <v>0.20432918999999999</v>
      </c>
      <c r="M5" s="112">
        <v>0.63552503999999999</v>
      </c>
      <c r="N5" s="113">
        <v>6.8543949200000007</v>
      </c>
    </row>
    <row r="6" spans="1:14" ht="13.5" thickTop="1" x14ac:dyDescent="0.2">
      <c r="A6" s="115" t="s">
        <v>618</v>
      </c>
      <c r="B6" s="116">
        <v>3.6591050753258996</v>
      </c>
      <c r="C6" s="117">
        <v>3.7255074844724998</v>
      </c>
      <c r="D6" s="117">
        <v>4.1885279053097513</v>
      </c>
      <c r="E6" s="117">
        <v>4.013509983016891</v>
      </c>
      <c r="F6" s="117">
        <v>4.16569255218291</v>
      </c>
      <c r="G6" s="117">
        <v>5.2183160267773996</v>
      </c>
      <c r="H6" s="117">
        <v>5.2199696412199499</v>
      </c>
      <c r="I6" s="117">
        <v>8.5023643260405297</v>
      </c>
      <c r="J6" s="117">
        <v>8.2565019968308402</v>
      </c>
      <c r="K6" s="117">
        <v>8.8019283874526195</v>
      </c>
      <c r="L6" s="117">
        <v>6.9881363289172906</v>
      </c>
      <c r="M6" s="118">
        <v>8.4526714171092703</v>
      </c>
      <c r="N6" s="119">
        <v>71.192231124655862</v>
      </c>
    </row>
    <row r="7" spans="1:14" ht="13.5" thickBot="1" x14ac:dyDescent="0.25">
      <c r="A7" s="120" t="s">
        <v>619</v>
      </c>
      <c r="B7" s="121">
        <v>2.8340894895763338</v>
      </c>
      <c r="C7" s="122">
        <v>17.107904787685907</v>
      </c>
      <c r="D7" s="122">
        <v>12.345183613995697</v>
      </c>
      <c r="E7" s="122">
        <v>15.917206818955538</v>
      </c>
      <c r="F7" s="122">
        <v>7.3655468705320235</v>
      </c>
      <c r="G7" s="122">
        <v>13.061771806452832</v>
      </c>
      <c r="H7" s="122">
        <v>10.503452599334928</v>
      </c>
      <c r="I7" s="122">
        <v>19.317045739724232</v>
      </c>
      <c r="J7" s="122">
        <v>7.2868503430886262</v>
      </c>
      <c r="K7" s="122">
        <v>3.96350064880333</v>
      </c>
      <c r="L7" s="122">
        <v>3.215572015848235</v>
      </c>
      <c r="M7" s="123">
        <v>14.076678969796024</v>
      </c>
      <c r="N7" s="124"/>
    </row>
    <row r="8" spans="1:14" ht="14.25" thickTop="1" thickBot="1" x14ac:dyDescent="0.25">
      <c r="A8" s="125" t="s">
        <v>620</v>
      </c>
      <c r="B8" s="110">
        <v>5.109698319987853</v>
      </c>
      <c r="C8" s="111">
        <v>5.0953376544123685</v>
      </c>
      <c r="D8" s="111">
        <v>1.05342583538935</v>
      </c>
      <c r="E8" s="111">
        <v>3.5142369559711306</v>
      </c>
      <c r="F8" s="111">
        <v>15.96459011017614</v>
      </c>
      <c r="G8" s="111">
        <v>19.500045063992889</v>
      </c>
      <c r="H8" s="111">
        <v>6.1125250325639495</v>
      </c>
      <c r="I8" s="111">
        <v>9.1878316455149509</v>
      </c>
      <c r="J8" s="111">
        <v>20.15650956390661</v>
      </c>
      <c r="K8" s="111">
        <v>8.0005647093877883</v>
      </c>
      <c r="L8" s="111">
        <v>17.085704565726491</v>
      </c>
      <c r="M8" s="112">
        <v>9.5713753531103993</v>
      </c>
      <c r="N8" s="113">
        <v>298.01163006492311</v>
      </c>
    </row>
    <row r="9" spans="1:14" ht="13.5" thickTop="1" x14ac:dyDescent="0.2">
      <c r="A9" s="126" t="s">
        <v>621</v>
      </c>
      <c r="B9" s="127">
        <v>1.7936122028529293</v>
      </c>
      <c r="C9" s="128">
        <v>2.7879378588113899</v>
      </c>
      <c r="D9" s="128">
        <v>1.914789208647969</v>
      </c>
      <c r="E9" s="128">
        <v>2.301152298346381</v>
      </c>
      <c r="F9" s="128">
        <v>5.3540899710203673</v>
      </c>
      <c r="G9" s="128">
        <v>9.7293648293275687</v>
      </c>
      <c r="H9" s="128">
        <v>4.6814718623505591</v>
      </c>
      <c r="I9" s="128">
        <v>8.2916726793490341</v>
      </c>
      <c r="J9" s="128">
        <v>6.1401298372766293</v>
      </c>
      <c r="K9" s="128">
        <v>1.3892128147471094</v>
      </c>
      <c r="L9" s="128">
        <v>2.4220552098502202</v>
      </c>
      <c r="M9" s="129">
        <v>3.8594927784092699</v>
      </c>
      <c r="N9" s="130"/>
    </row>
    <row r="10" spans="1:14" ht="13.5" thickBot="1" x14ac:dyDescent="0.25">
      <c r="A10" s="131" t="s">
        <v>622</v>
      </c>
      <c r="B10" s="132">
        <v>6.9579159447370018E-2</v>
      </c>
      <c r="C10" s="133">
        <v>1.2380429808159401</v>
      </c>
      <c r="D10" s="133">
        <v>2.3001905748247404</v>
      </c>
      <c r="E10" s="133">
        <v>5.9735006806362891</v>
      </c>
      <c r="F10" s="133">
        <v>4.0978913825748604</v>
      </c>
      <c r="G10" s="133">
        <v>3.3905399385278203</v>
      </c>
      <c r="H10" s="133">
        <v>4.4683079425905996</v>
      </c>
      <c r="I10" s="133">
        <v>1.05790050712973</v>
      </c>
      <c r="J10" s="133">
        <v>0.50406709284090001</v>
      </c>
      <c r="K10" s="133">
        <v>0.48884207393989981</v>
      </c>
      <c r="L10" s="133">
        <v>0.17413169413728999</v>
      </c>
      <c r="M10" s="134">
        <v>0.4941963601866699</v>
      </c>
      <c r="N10" s="135">
        <v>24.257190387652109</v>
      </c>
    </row>
    <row r="11" spans="1:14" ht="14.25" thickTop="1" thickBot="1" x14ac:dyDescent="0.25">
      <c r="A11" s="136" t="s">
        <v>623</v>
      </c>
      <c r="B11" s="110">
        <v>9.5810215271026404</v>
      </c>
      <c r="C11" s="111">
        <v>7.6989851575043113</v>
      </c>
      <c r="D11" s="111">
        <v>8.1873209221274088</v>
      </c>
      <c r="E11" s="111">
        <v>8.9505268889771585</v>
      </c>
      <c r="F11" s="111">
        <v>7.3557807895261655</v>
      </c>
      <c r="G11" s="111">
        <v>7.3348802642441697</v>
      </c>
      <c r="H11" s="111">
        <v>7.3293474944786698</v>
      </c>
      <c r="I11" s="111">
        <v>8.0402096203275786</v>
      </c>
      <c r="J11" s="111">
        <v>7.9958510909132814</v>
      </c>
      <c r="K11" s="111">
        <v>8.2887422639797474</v>
      </c>
      <c r="L11" s="111">
        <v>6.4654231991674198</v>
      </c>
      <c r="M11" s="112">
        <v>6.718315564802551</v>
      </c>
      <c r="N11" s="113">
        <v>93.946404783151095</v>
      </c>
    </row>
    <row r="12" spans="1:14" ht="14.25" thickTop="1" thickBot="1" x14ac:dyDescent="0.25">
      <c r="A12" s="137" t="s">
        <v>624</v>
      </c>
      <c r="B12" s="110">
        <v>11.586686443531137</v>
      </c>
      <c r="C12" s="111">
        <v>11.76339944869923</v>
      </c>
      <c r="D12" s="111">
        <v>11.565408961232629</v>
      </c>
      <c r="E12" s="111">
        <v>14.162707038323187</v>
      </c>
      <c r="F12" s="111">
        <v>14.256279815860939</v>
      </c>
      <c r="G12" s="111">
        <v>15.839591901478228</v>
      </c>
      <c r="H12" s="111">
        <v>12.242299674611848</v>
      </c>
      <c r="I12" s="111">
        <v>11.650433277940065</v>
      </c>
      <c r="J12" s="111">
        <v>11.69236486500423</v>
      </c>
      <c r="K12" s="111">
        <v>11.068337978955089</v>
      </c>
      <c r="L12" s="111">
        <v>10.0703837179022</v>
      </c>
      <c r="M12" s="112">
        <v>10.625039579168057</v>
      </c>
      <c r="N12" s="113">
        <v>146.52293270270684</v>
      </c>
    </row>
    <row r="13" spans="1:14" ht="14.25" thickTop="1" thickBot="1" x14ac:dyDescent="0.25">
      <c r="A13" s="138" t="s">
        <v>625</v>
      </c>
      <c r="B13" s="110">
        <v>5.9683570600000015</v>
      </c>
      <c r="C13" s="111">
        <v>6.8054702200000001</v>
      </c>
      <c r="D13" s="111">
        <v>6.3887686200000005</v>
      </c>
      <c r="E13" s="111">
        <v>6.4175360599999998</v>
      </c>
      <c r="F13" s="111">
        <v>6.2667453899999996</v>
      </c>
      <c r="G13" s="111">
        <v>6.2201604699999997</v>
      </c>
      <c r="H13" s="111">
        <v>7.0599557400000004</v>
      </c>
      <c r="I13" s="111">
        <v>6.8382208400000009</v>
      </c>
      <c r="J13" s="111">
        <v>9.6866930199999981</v>
      </c>
      <c r="K13" s="111">
        <v>9.2674579499999989</v>
      </c>
      <c r="L13" s="111">
        <v>7.0140883200000026</v>
      </c>
      <c r="M13" s="112">
        <v>8.2435477900000009</v>
      </c>
      <c r="N13" s="113">
        <v>86.177001480000001</v>
      </c>
    </row>
    <row r="14" spans="1:14" ht="14.25" thickTop="1" thickBot="1" x14ac:dyDescent="0.25">
      <c r="A14" s="139" t="s">
        <v>561</v>
      </c>
      <c r="B14" s="116">
        <v>5.3806805911980851</v>
      </c>
      <c r="C14" s="117">
        <v>5.4715374298030763</v>
      </c>
      <c r="D14" s="117">
        <v>6.03893855281488</v>
      </c>
      <c r="E14" s="117">
        <v>6.7754065004091117</v>
      </c>
      <c r="F14" s="117">
        <v>10.562684440709228</v>
      </c>
      <c r="G14" s="117">
        <v>9.4670989306779436</v>
      </c>
      <c r="H14" s="117">
        <v>7.7579664152508521</v>
      </c>
      <c r="I14" s="111">
        <v>5.81624923794854</v>
      </c>
      <c r="J14" s="111">
        <v>5.7298548998827483</v>
      </c>
      <c r="K14" s="111">
        <v>6.5082371787169162</v>
      </c>
      <c r="L14" s="111">
        <v>6.1266285334151007</v>
      </c>
      <c r="M14" s="112">
        <v>6.2581270373333444</v>
      </c>
      <c r="N14" s="113">
        <v>81.893409748159812</v>
      </c>
    </row>
    <row r="15" spans="1:14" ht="14.25" thickTop="1" thickBot="1" x14ac:dyDescent="0.25">
      <c r="A15" s="140" t="s">
        <v>626</v>
      </c>
      <c r="B15" s="116">
        <v>1.3754244089446424</v>
      </c>
      <c r="C15" s="117">
        <v>1.0529516516805708</v>
      </c>
      <c r="D15" s="117">
        <v>1.5340695887547899</v>
      </c>
      <c r="E15" s="117">
        <v>1.944596674866589</v>
      </c>
      <c r="F15" s="117">
        <v>1.727752165009478</v>
      </c>
      <c r="G15" s="117">
        <v>1.3929641340075112</v>
      </c>
      <c r="H15" s="117">
        <v>1.5999519065131149</v>
      </c>
      <c r="I15" s="111">
        <v>1.3928253358726577</v>
      </c>
      <c r="J15" s="111">
        <v>3.2612884627445862</v>
      </c>
      <c r="K15" s="111">
        <v>2.2917144921086714</v>
      </c>
      <c r="L15" s="111">
        <v>2.1943753101154484</v>
      </c>
      <c r="M15" s="112">
        <v>1.1348193888500417</v>
      </c>
      <c r="N15" s="113">
        <v>20.9027335194681</v>
      </c>
    </row>
    <row r="16" spans="1:14" ht="14.25" thickTop="1" thickBot="1" x14ac:dyDescent="0.25">
      <c r="A16" s="141" t="s">
        <v>627</v>
      </c>
      <c r="B16" s="142">
        <v>1.3281026848596165</v>
      </c>
      <c r="C16" s="117">
        <v>4.1421684139988733</v>
      </c>
      <c r="D16" s="117">
        <v>3.104631329679834</v>
      </c>
      <c r="E16" s="117">
        <v>2.7650091803304937</v>
      </c>
      <c r="F16" s="117">
        <v>8.6501194165291135</v>
      </c>
      <c r="G16" s="117">
        <v>2.2348055307431594</v>
      </c>
      <c r="H16" s="117">
        <v>0.29286847484923439</v>
      </c>
      <c r="I16" s="117">
        <v>0.36475136698581512</v>
      </c>
      <c r="J16" s="117">
        <v>0.84809810007201214</v>
      </c>
      <c r="K16" s="117">
        <v>1.291456679081908</v>
      </c>
      <c r="L16" s="117">
        <v>1.8865361399697851</v>
      </c>
      <c r="M16" s="143">
        <v>4.7915530184501343</v>
      </c>
      <c r="N16" s="113">
        <v>31.70010033554998</v>
      </c>
    </row>
    <row r="17" spans="1:27" ht="14.25" thickTop="1" thickBot="1" x14ac:dyDescent="0.25">
      <c r="A17" s="139" t="s">
        <v>628</v>
      </c>
      <c r="B17" s="142">
        <v>4.4455871999999985</v>
      </c>
      <c r="C17" s="144">
        <v>4.5937734399999988</v>
      </c>
      <c r="D17" s="144">
        <v>4.4455871999999985</v>
      </c>
      <c r="E17" s="144">
        <v>4.5937734399999988</v>
      </c>
      <c r="F17" s="144">
        <v>4.5937734399999988</v>
      </c>
      <c r="G17" s="144">
        <v>4.4455871999999985</v>
      </c>
      <c r="H17" s="144">
        <v>4.5937734399999988</v>
      </c>
      <c r="I17" s="117">
        <v>4.4455871999999985</v>
      </c>
      <c r="J17" s="117">
        <v>4.5937734399999988</v>
      </c>
      <c r="K17" s="117">
        <v>4.5937734399999988</v>
      </c>
      <c r="L17" s="117">
        <v>4.149214719999998</v>
      </c>
      <c r="M17" s="142">
        <v>4.5937734399999988</v>
      </c>
      <c r="N17" s="113">
        <v>54.087977599999988</v>
      </c>
    </row>
    <row r="18" spans="1:27" ht="14.25" thickTop="1" thickBot="1" x14ac:dyDescent="0.25">
      <c r="A18" s="145" t="s">
        <v>629</v>
      </c>
      <c r="B18" s="142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17">
        <v>30.104765112499184</v>
      </c>
      <c r="J18" s="117">
        <v>29.425363193934817</v>
      </c>
      <c r="K18" s="117">
        <v>29.375521390799651</v>
      </c>
      <c r="L18" s="117">
        <v>29.359584359616203</v>
      </c>
      <c r="M18" s="142">
        <v>0</v>
      </c>
      <c r="N18" s="113">
        <v>118.26523405684986</v>
      </c>
    </row>
    <row r="19" spans="1:27" ht="14.25" thickTop="1" thickBot="1" x14ac:dyDescent="0.25">
      <c r="A19" s="146" t="s">
        <v>630</v>
      </c>
      <c r="B19" s="147">
        <v>52.204863443423854</v>
      </c>
      <c r="C19" s="144">
        <v>68.443705479631717</v>
      </c>
      <c r="D19" s="144">
        <v>69.227539624025979</v>
      </c>
      <c r="E19" s="144">
        <v>88.329183765880046</v>
      </c>
      <c r="F19" s="144">
        <v>94.5610487271247</v>
      </c>
      <c r="G19" s="144">
        <v>110.67080373560975</v>
      </c>
      <c r="H19" s="144">
        <v>91.835403640454174</v>
      </c>
      <c r="I19" s="117">
        <v>164.87602621097022</v>
      </c>
      <c r="J19" s="117">
        <v>116.69056314340156</v>
      </c>
      <c r="K19" s="117">
        <v>101.34718998004294</v>
      </c>
      <c r="L19" s="117">
        <v>94.163163934385011</v>
      </c>
      <c r="M19" s="118">
        <v>74.923769274527629</v>
      </c>
      <c r="N19" s="148">
        <v>1127.2732609594775</v>
      </c>
    </row>
    <row r="20" spans="1:27" ht="13.5" thickBot="1" x14ac:dyDescent="0.25">
      <c r="A20" s="149" t="s">
        <v>631</v>
      </c>
      <c r="B20" s="150">
        <v>42.378929087214381</v>
      </c>
      <c r="C20" s="151">
        <v>38.84289232191545</v>
      </c>
      <c r="D20" s="151">
        <v>38.410454724070014</v>
      </c>
      <c r="E20" s="151">
        <v>37.845585091021135</v>
      </c>
      <c r="F20" s="151">
        <v>37.336958226778769</v>
      </c>
      <c r="G20" s="151">
        <v>38.940228536967744</v>
      </c>
      <c r="H20" s="151">
        <v>44.672893868452007</v>
      </c>
      <c r="I20" s="151">
        <v>49.300866955915048</v>
      </c>
      <c r="J20" s="151">
        <v>49.853921991852978</v>
      </c>
      <c r="K20" s="151">
        <v>53.617844677550295</v>
      </c>
      <c r="L20" s="151">
        <v>44.80214364893898</v>
      </c>
      <c r="M20" s="152">
        <v>44.308893751136779</v>
      </c>
      <c r="N20" s="153">
        <v>520.31161288181352</v>
      </c>
    </row>
    <row r="21" spans="1:27" ht="13.5" thickBot="1" x14ac:dyDescent="0.25">
      <c r="A21" s="149" t="s">
        <v>632</v>
      </c>
      <c r="B21" s="195">
        <v>4.4212168196512609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7"/>
      <c r="N21" s="153">
        <v>4.4212168196512609</v>
      </c>
    </row>
    <row r="22" spans="1:27" ht="13.5" thickBot="1" x14ac:dyDescent="0.25">
      <c r="A22" s="149" t="s">
        <v>633</v>
      </c>
      <c r="B22" s="150">
        <v>13.024985729589041</v>
      </c>
      <c r="C22" s="151">
        <v>13.459151920575342</v>
      </c>
      <c r="D22" s="151">
        <v>13.024985729589041</v>
      </c>
      <c r="E22" s="151">
        <v>13.459151920575342</v>
      </c>
      <c r="F22" s="151">
        <v>13.459151920575342</v>
      </c>
      <c r="G22" s="151">
        <v>13.024985729589041</v>
      </c>
      <c r="H22" s="151">
        <v>13.459151920575342</v>
      </c>
      <c r="I22" s="151">
        <v>13.024985729589041</v>
      </c>
      <c r="J22" s="151">
        <v>13.459151920575342</v>
      </c>
      <c r="K22" s="151">
        <v>13.459151920575342</v>
      </c>
      <c r="L22" s="151">
        <v>12.156653347616439</v>
      </c>
      <c r="M22" s="152">
        <v>13.459151920575342</v>
      </c>
      <c r="N22" s="153">
        <v>158.47065971000001</v>
      </c>
    </row>
    <row r="23" spans="1:27" ht="13.5" thickBot="1" x14ac:dyDescent="0.25">
      <c r="A23" s="149" t="s">
        <v>634</v>
      </c>
      <c r="B23" s="154">
        <v>1.547779480737496</v>
      </c>
      <c r="C23" s="155">
        <v>2.1182345878086304</v>
      </c>
      <c r="D23" s="155">
        <v>2.1508704760438695</v>
      </c>
      <c r="E23" s="155">
        <v>2.6994915271449793</v>
      </c>
      <c r="F23" s="155">
        <v>2.9031743988335164</v>
      </c>
      <c r="G23" s="155">
        <v>3.1858872382125516</v>
      </c>
      <c r="H23" s="155">
        <v>2.3654177515071217</v>
      </c>
      <c r="I23" s="155">
        <v>3.6158471570848985</v>
      </c>
      <c r="J23" s="155">
        <v>2.618153406103287</v>
      </c>
      <c r="K23" s="155">
        <v>2.1481997868415861</v>
      </c>
      <c r="L23" s="155">
        <v>2.3806668706743279</v>
      </c>
      <c r="M23" s="156">
        <v>2.0031739519433684</v>
      </c>
      <c r="N23" s="157">
        <v>2.4796008882895801</v>
      </c>
    </row>
    <row r="25" spans="1:27" ht="13.5" thickBot="1" x14ac:dyDescent="0.25"/>
    <row r="26" spans="1:27" ht="47.25" customHeight="1" x14ac:dyDescent="0.2">
      <c r="A26" s="99" t="s">
        <v>613</v>
      </c>
      <c r="B26" s="100">
        <v>42855</v>
      </c>
      <c r="C26" s="101">
        <v>42886</v>
      </c>
      <c r="D26" s="101">
        <v>42916</v>
      </c>
      <c r="E26" s="101">
        <v>42947</v>
      </c>
      <c r="F26" s="101">
        <v>42978</v>
      </c>
      <c r="G26" s="101">
        <v>43008</v>
      </c>
      <c r="H26" s="101">
        <v>43039</v>
      </c>
      <c r="I26" s="101">
        <v>43069</v>
      </c>
      <c r="J26" s="101">
        <v>43100</v>
      </c>
      <c r="K26" s="101">
        <v>43131</v>
      </c>
      <c r="L26" s="101">
        <v>43159</v>
      </c>
      <c r="M26" s="102">
        <v>43190</v>
      </c>
      <c r="N26" s="103" t="s">
        <v>636</v>
      </c>
      <c r="O26" s="158">
        <v>43220</v>
      </c>
      <c r="P26" s="159">
        <v>43251</v>
      </c>
      <c r="Q26" s="160">
        <v>43281</v>
      </c>
      <c r="R26" s="161">
        <v>43312</v>
      </c>
      <c r="S26" s="159">
        <v>43343</v>
      </c>
      <c r="T26" s="161">
        <v>43373</v>
      </c>
      <c r="U26" s="161">
        <v>43404</v>
      </c>
      <c r="V26" s="161">
        <v>43434</v>
      </c>
      <c r="W26" s="161">
        <v>43465</v>
      </c>
      <c r="X26" s="161">
        <v>43496</v>
      </c>
      <c r="Y26" s="159">
        <v>43524</v>
      </c>
      <c r="Z26" s="159">
        <v>43555</v>
      </c>
      <c r="AA26" s="162" t="s">
        <v>637</v>
      </c>
    </row>
    <row r="27" spans="1:27" ht="13.5" thickBot="1" x14ac:dyDescent="0.25">
      <c r="A27" s="104" t="s">
        <v>615</v>
      </c>
      <c r="B27" s="105">
        <v>-8.3311680860000035</v>
      </c>
      <c r="C27" s="106">
        <v>-8.4684090912800052</v>
      </c>
      <c r="D27" s="106">
        <v>-3.5149191590400002</v>
      </c>
      <c r="E27" s="106">
        <v>-6.4080791779199879</v>
      </c>
      <c r="F27" s="106">
        <v>-7.1052114977799912</v>
      </c>
      <c r="G27" s="106">
        <v>-2.7143758529300004</v>
      </c>
      <c r="H27" s="106">
        <v>-6.885352578920001</v>
      </c>
      <c r="I27" s="106">
        <v>-1.3617190344200034</v>
      </c>
      <c r="J27" s="106">
        <v>-7.6917232511999858</v>
      </c>
      <c r="K27" s="106">
        <v>-3.8060343666901195</v>
      </c>
      <c r="L27" s="106">
        <v>-8.5885064912427378</v>
      </c>
      <c r="M27" s="107">
        <v>-9.0200222469410463</v>
      </c>
      <c r="N27" s="108">
        <v>-73.895520834363879</v>
      </c>
      <c r="O27" s="163">
        <v>-2.6798968886000019</v>
      </c>
      <c r="P27" s="164">
        <v>-8.4684090912800052</v>
      </c>
      <c r="Q27" s="164">
        <v>-3.5149191590400002</v>
      </c>
      <c r="R27" s="164">
        <v>-6.4080791779199879</v>
      </c>
      <c r="S27" s="164">
        <v>-7.1052114977799912</v>
      </c>
      <c r="T27" s="164">
        <v>-2.7143758529300004</v>
      </c>
      <c r="U27" s="164">
        <v>-6.885352578920001</v>
      </c>
      <c r="V27" s="164">
        <v>-1.3617190344200034</v>
      </c>
      <c r="W27" s="164">
        <v>-7.6917232511999858</v>
      </c>
      <c r="X27" s="164">
        <v>-3.8060343666901195</v>
      </c>
      <c r="Y27" s="164">
        <v>-8.8952388659299793</v>
      </c>
      <c r="Z27" s="165">
        <v>-9</v>
      </c>
      <c r="AA27" s="166">
        <v>-68.530959764710076</v>
      </c>
    </row>
    <row r="28" spans="1:27" ht="14.25" thickTop="1" thickBot="1" x14ac:dyDescent="0.25">
      <c r="A28" s="109" t="s">
        <v>616</v>
      </c>
      <c r="B28" s="110">
        <v>5.76767729327866</v>
      </c>
      <c r="C28" s="111">
        <v>5.595427041878521</v>
      </c>
      <c r="D28" s="111">
        <v>10.97565639424562</v>
      </c>
      <c r="E28" s="111">
        <v>18.117359075644274</v>
      </c>
      <c r="F28" s="111">
        <v>14.83205887523396</v>
      </c>
      <c r="G28" s="111">
        <v>19.849428223417164</v>
      </c>
      <c r="H28" s="111">
        <v>23.988334390613481</v>
      </c>
      <c r="I28" s="111">
        <v>40.084627293920747</v>
      </c>
      <c r="J28" s="111">
        <v>9.9571229841004989</v>
      </c>
      <c r="K28" s="111">
        <v>11.3283729538568</v>
      </c>
      <c r="L28" s="111">
        <v>7.5752916031360709</v>
      </c>
      <c r="M28" s="112">
        <v>7.234956224311869</v>
      </c>
      <c r="N28" s="113">
        <v>175.30631235363768</v>
      </c>
      <c r="O28" s="167">
        <v>2.8531970298059806</v>
      </c>
      <c r="P28" s="168">
        <v>5.595427041878521</v>
      </c>
      <c r="Q28" s="168">
        <v>10.97565639424562</v>
      </c>
      <c r="R28" s="168">
        <v>18.117359075644274</v>
      </c>
      <c r="S28" s="168">
        <v>14.83205887523396</v>
      </c>
      <c r="T28" s="168">
        <v>19.849428223417164</v>
      </c>
      <c r="U28" s="168">
        <v>23.988334390613481</v>
      </c>
      <c r="V28" s="168">
        <v>40.5492730547967</v>
      </c>
      <c r="W28" s="168">
        <v>9.9571229841004989</v>
      </c>
      <c r="X28" s="168">
        <v>11.3283729538568</v>
      </c>
      <c r="Y28" s="168">
        <v>7.5752916031360709</v>
      </c>
      <c r="Z28" s="169">
        <v>7.234956224311869</v>
      </c>
      <c r="AA28" s="170">
        <v>172.85647785104095</v>
      </c>
    </row>
    <row r="29" spans="1:27" ht="14.25" thickTop="1" thickBot="1" x14ac:dyDescent="0.25">
      <c r="A29" s="114" t="s">
        <v>617</v>
      </c>
      <c r="B29" s="110">
        <v>6.1285500000000007E-2</v>
      </c>
      <c r="C29" s="111">
        <v>2.5130020000000003E-2</v>
      </c>
      <c r="D29" s="111">
        <v>1.083334E-2</v>
      </c>
      <c r="E29" s="111">
        <v>2.9166700000000001E-3</v>
      </c>
      <c r="F29" s="111">
        <v>9.611625E-2</v>
      </c>
      <c r="G29" s="111">
        <v>5.2416670000000005E-2</v>
      </c>
      <c r="H29" s="111">
        <v>2.5986670000000003E-2</v>
      </c>
      <c r="I29" s="111">
        <v>9.5177510000000007E-2</v>
      </c>
      <c r="J29" s="111">
        <v>5.0811700000000015E-2</v>
      </c>
      <c r="K29" s="111">
        <v>5.020003E-2</v>
      </c>
      <c r="L29" s="111">
        <v>6.8825030000000009E-2</v>
      </c>
      <c r="M29" s="112">
        <v>0.34437416999999998</v>
      </c>
      <c r="N29" s="113">
        <v>0.88407356000000004</v>
      </c>
      <c r="O29" s="167">
        <v>0.04</v>
      </c>
      <c r="P29" s="168">
        <v>2.5130020000000003E-2</v>
      </c>
      <c r="Q29" s="168">
        <v>1.083334E-2</v>
      </c>
      <c r="R29" s="168">
        <v>2.9166700000000001E-3</v>
      </c>
      <c r="S29" s="168">
        <v>9.611625E-2</v>
      </c>
      <c r="T29" s="168">
        <v>5.2416670000000005E-2</v>
      </c>
      <c r="U29" s="168">
        <v>2.5986670000000003E-2</v>
      </c>
      <c r="V29" s="168">
        <v>9.5177510000000007E-2</v>
      </c>
      <c r="W29" s="168">
        <v>5.0811700000000015E-2</v>
      </c>
      <c r="X29" s="168">
        <v>5.020003E-2</v>
      </c>
      <c r="Y29" s="168">
        <v>6.8825030000000009E-2</v>
      </c>
      <c r="Z29" s="169">
        <v>0.34437416999999998</v>
      </c>
      <c r="AA29" s="170">
        <v>0.86278805999999997</v>
      </c>
    </row>
    <row r="30" spans="1:27" ht="13.5" thickTop="1" x14ac:dyDescent="0.2">
      <c r="A30" s="115" t="s">
        <v>618</v>
      </c>
      <c r="B30" s="116">
        <v>5.6239510668207009</v>
      </c>
      <c r="C30" s="117">
        <v>3.908261133051401</v>
      </c>
      <c r="D30" s="117">
        <v>4.3967956261221408</v>
      </c>
      <c r="E30" s="117">
        <v>4.2125930708375661</v>
      </c>
      <c r="F30" s="117">
        <v>4.3722245441702272</v>
      </c>
      <c r="G30" s="117">
        <v>5.4752861582484957</v>
      </c>
      <c r="H30" s="117">
        <v>5.4772237438687492</v>
      </c>
      <c r="I30" s="117">
        <v>8.9183497113821524</v>
      </c>
      <c r="J30" s="117">
        <v>8.663535543304075</v>
      </c>
      <c r="K30" s="117">
        <v>9.2327992402507242</v>
      </c>
      <c r="L30" s="117">
        <v>7.3356504125739832</v>
      </c>
      <c r="M30" s="118">
        <v>9.3273431005065461</v>
      </c>
      <c r="N30" s="119">
        <v>76.944013351136761</v>
      </c>
      <c r="O30" s="171">
        <v>3.8479489462844931</v>
      </c>
      <c r="P30" s="172">
        <v>3.922911511733457</v>
      </c>
      <c r="Q30" s="172">
        <v>4.4016157118470263</v>
      </c>
      <c r="R30" s="172">
        <v>4.2192175019710687</v>
      </c>
      <c r="S30" s="172">
        <v>4.3795155083570361</v>
      </c>
      <c r="T30" s="172">
        <v>5.4917001448984353</v>
      </c>
      <c r="U30" s="172">
        <v>5.4928003622234991</v>
      </c>
      <c r="V30" s="172">
        <v>8.9563422881774368</v>
      </c>
      <c r="W30" s="172">
        <v>8.6876284053162358</v>
      </c>
      <c r="X30" s="172">
        <v>9.2711775972007544</v>
      </c>
      <c r="Y30" s="172">
        <v>7.3417470601769432</v>
      </c>
      <c r="Z30" s="173">
        <v>9.3595310612822917</v>
      </c>
      <c r="AA30" s="174">
        <v>75.37213609946869</v>
      </c>
    </row>
    <row r="31" spans="1:27" ht="13.5" thickBot="1" x14ac:dyDescent="0.25">
      <c r="A31" s="120" t="s">
        <v>619</v>
      </c>
      <c r="B31" s="121">
        <v>4.5163607475827234</v>
      </c>
      <c r="C31" s="122" t="s">
        <v>638</v>
      </c>
      <c r="D31" s="122" t="s">
        <v>638</v>
      </c>
      <c r="E31" s="122" t="s">
        <v>638</v>
      </c>
      <c r="F31" s="122" t="s">
        <v>638</v>
      </c>
      <c r="G31" s="122" t="s">
        <v>638</v>
      </c>
      <c r="H31" s="122" t="s">
        <v>638</v>
      </c>
      <c r="I31" s="122" t="s">
        <v>638</v>
      </c>
      <c r="J31" s="122" t="s">
        <v>638</v>
      </c>
      <c r="K31" s="122" t="s">
        <v>638</v>
      </c>
      <c r="L31" s="122" t="s">
        <v>638</v>
      </c>
      <c r="M31" s="123" t="s">
        <v>638</v>
      </c>
      <c r="N31" s="124"/>
      <c r="O31" s="175" t="s">
        <v>638</v>
      </c>
      <c r="P31" s="176" t="s">
        <v>638</v>
      </c>
      <c r="Q31" s="176" t="s">
        <v>638</v>
      </c>
      <c r="R31" s="176" t="s">
        <v>638</v>
      </c>
      <c r="S31" s="176" t="s">
        <v>638</v>
      </c>
      <c r="T31" s="176" t="s">
        <v>638</v>
      </c>
      <c r="U31" s="176" t="s">
        <v>638</v>
      </c>
      <c r="V31" s="176" t="s">
        <v>638</v>
      </c>
      <c r="W31" s="176" t="s">
        <v>638</v>
      </c>
      <c r="X31" s="176" t="s">
        <v>638</v>
      </c>
      <c r="Y31" s="176" t="s">
        <v>638</v>
      </c>
      <c r="Z31" s="177" t="s">
        <v>638</v>
      </c>
      <c r="AA31" s="178"/>
    </row>
    <row r="32" spans="1:27" ht="14.25" thickTop="1" thickBot="1" x14ac:dyDescent="0.25">
      <c r="A32" s="125" t="s">
        <v>620</v>
      </c>
      <c r="B32" s="110">
        <v>9.5052143631286583</v>
      </c>
      <c r="C32" s="111">
        <v>21.321729609713032</v>
      </c>
      <c r="D32" s="111">
        <v>13.107088686992853</v>
      </c>
      <c r="E32" s="111">
        <v>19.291912494859542</v>
      </c>
      <c r="F32" s="111">
        <v>32.268339263329651</v>
      </c>
      <c r="G32" s="111">
        <v>42.834255241876448</v>
      </c>
      <c r="H32" s="111">
        <v>19.820988982742097</v>
      </c>
      <c r="I32" s="111">
        <v>36.549282642934038</v>
      </c>
      <c r="J32" s="111">
        <v>33.415545493415877</v>
      </c>
      <c r="K32" s="111">
        <v>13.88948585109214</v>
      </c>
      <c r="L32" s="111">
        <v>24.036282507330732</v>
      </c>
      <c r="M32" s="112">
        <v>29.940015828837833</v>
      </c>
      <c r="N32" s="113">
        <v>304.53216071883537</v>
      </c>
      <c r="O32" s="167">
        <v>16.221144465006194</v>
      </c>
      <c r="P32" s="168">
        <v>31.298295203419485</v>
      </c>
      <c r="Q32" s="168">
        <v>25.066905631153332</v>
      </c>
      <c r="R32" s="168">
        <v>20.607174864534727</v>
      </c>
      <c r="S32" s="168">
        <v>23.891235044373293</v>
      </c>
      <c r="T32" s="168">
        <v>9.6553908665283679</v>
      </c>
      <c r="U32" s="168">
        <v>12.447918892432746</v>
      </c>
      <c r="V32" s="168">
        <v>35.665442224833477</v>
      </c>
      <c r="W32" s="168">
        <v>46.142225366979993</v>
      </c>
      <c r="X32" s="168">
        <v>29.975972610730917</v>
      </c>
      <c r="Y32" s="168">
        <v>16.8574456320911</v>
      </c>
      <c r="Z32" s="169">
        <v>8.8994599074487919</v>
      </c>
      <c r="AA32" s="170">
        <v>276.7286107095324</v>
      </c>
    </row>
    <row r="33" spans="1:27" ht="13.5" thickTop="1" x14ac:dyDescent="0.2">
      <c r="A33" s="126" t="s">
        <v>621</v>
      </c>
      <c r="B33" s="127">
        <v>4.0356590049997196</v>
      </c>
      <c r="C33" s="128" t="s">
        <v>638</v>
      </c>
      <c r="D33" s="128" t="s">
        <v>638</v>
      </c>
      <c r="E33" s="128" t="s">
        <v>638</v>
      </c>
      <c r="F33" s="128" t="s">
        <v>638</v>
      </c>
      <c r="G33" s="128" t="s">
        <v>638</v>
      </c>
      <c r="H33" s="128" t="s">
        <v>638</v>
      </c>
      <c r="I33" s="128" t="s">
        <v>638</v>
      </c>
      <c r="J33" s="128" t="s">
        <v>638</v>
      </c>
      <c r="K33" s="128" t="s">
        <v>638</v>
      </c>
      <c r="L33" s="128" t="s">
        <v>638</v>
      </c>
      <c r="M33" s="129" t="s">
        <v>638</v>
      </c>
      <c r="N33" s="130"/>
      <c r="O33" s="179" t="s">
        <v>638</v>
      </c>
      <c r="P33" s="180" t="s">
        <v>638</v>
      </c>
      <c r="Q33" s="180" t="s">
        <v>638</v>
      </c>
      <c r="R33" s="180" t="s">
        <v>638</v>
      </c>
      <c r="S33" s="180" t="s">
        <v>638</v>
      </c>
      <c r="T33" s="180" t="s">
        <v>638</v>
      </c>
      <c r="U33" s="180" t="s">
        <v>638</v>
      </c>
      <c r="V33" s="180" t="s">
        <v>638</v>
      </c>
      <c r="W33" s="180" t="s">
        <v>638</v>
      </c>
      <c r="X33" s="180" t="s">
        <v>638</v>
      </c>
      <c r="Y33" s="180" t="s">
        <v>638</v>
      </c>
      <c r="Z33" s="181" t="s">
        <v>638</v>
      </c>
      <c r="AA33" s="182"/>
    </row>
    <row r="34" spans="1:27" ht="13.5" thickBot="1" x14ac:dyDescent="0.25">
      <c r="A34" s="131" t="s">
        <v>622</v>
      </c>
      <c r="B34" s="132">
        <v>1.19914871521864</v>
      </c>
      <c r="C34" s="133">
        <v>1.2549718259377722</v>
      </c>
      <c r="D34" s="133">
        <v>2.3461943863212356</v>
      </c>
      <c r="E34" s="133">
        <v>6.0929706942490158</v>
      </c>
      <c r="F34" s="133">
        <v>4.1665900732800196</v>
      </c>
      <c r="G34" s="133">
        <v>3.4586812560583762</v>
      </c>
      <c r="H34" s="133">
        <v>4.5576741014424131</v>
      </c>
      <c r="I34" s="133">
        <v>1.0790585172723246</v>
      </c>
      <c r="J34" s="133">
        <v>0.51186365837017378</v>
      </c>
      <c r="K34" s="133">
        <v>0.49861891541869802</v>
      </c>
      <c r="L34" s="133">
        <v>0.17761432802003577</v>
      </c>
      <c r="M34" s="134">
        <v>0.49834388923034822</v>
      </c>
      <c r="N34" s="135">
        <v>25.841730360819053</v>
      </c>
      <c r="O34" s="183">
        <v>6.5808989857671224E-2</v>
      </c>
      <c r="P34" s="184">
        <v>1.2744998578037197</v>
      </c>
      <c r="Q34" s="184">
        <v>2.3733140562727533</v>
      </c>
      <c r="R34" s="184">
        <v>6.1139642601453046</v>
      </c>
      <c r="S34" s="184">
        <v>4.1845738715631624</v>
      </c>
      <c r="T34" s="184">
        <v>3.48742021924346</v>
      </c>
      <c r="U34" s="184">
        <v>4.5714008139065045</v>
      </c>
      <c r="V34" s="184">
        <v>1.0918329433058163</v>
      </c>
      <c r="W34" s="184">
        <v>0.51607653704930456</v>
      </c>
      <c r="X34" s="184">
        <v>0.50275800685650729</v>
      </c>
      <c r="Y34" s="184">
        <v>0.18034924187172338</v>
      </c>
      <c r="Z34" s="185">
        <v>0.50143213906282025</v>
      </c>
      <c r="AA34" s="186">
        <v>24.863430936938752</v>
      </c>
    </row>
    <row r="35" spans="1:27" ht="14.25" thickTop="1" thickBot="1" x14ac:dyDescent="0.25">
      <c r="A35" s="136" t="s">
        <v>623</v>
      </c>
      <c r="B35" s="110">
        <v>6.5634815690677772</v>
      </c>
      <c r="C35" s="111">
        <v>7.3140358996290935</v>
      </c>
      <c r="D35" s="111">
        <v>7.77795487602104</v>
      </c>
      <c r="E35" s="111">
        <v>8.5030005445283017</v>
      </c>
      <c r="F35" s="111">
        <v>6.9879917500498561</v>
      </c>
      <c r="G35" s="111">
        <v>6.9681362510319609</v>
      </c>
      <c r="H35" s="111">
        <v>6.9628801197547379</v>
      </c>
      <c r="I35" s="111">
        <v>7.638199139311201</v>
      </c>
      <c r="J35" s="111">
        <v>7.5960585363676154</v>
      </c>
      <c r="K35" s="111">
        <v>7.87430515078076</v>
      </c>
      <c r="L35" s="111">
        <v>6.1740978507090478</v>
      </c>
      <c r="M35" s="112">
        <v>5.6526284717052775</v>
      </c>
      <c r="N35" s="113">
        <v>86.01277015895667</v>
      </c>
      <c r="O35" s="167">
        <v>8.6286854023601318</v>
      </c>
      <c r="P35" s="168">
        <v>6.9336544822226402</v>
      </c>
      <c r="Q35" s="168">
        <v>7.3731859753199869</v>
      </c>
      <c r="R35" s="168">
        <v>8.0605391569518883</v>
      </c>
      <c r="S35" s="168">
        <v>6.6240782195973633</v>
      </c>
      <c r="T35" s="168">
        <v>6.6050886928803632</v>
      </c>
      <c r="U35" s="168">
        <v>6.600230204042</v>
      </c>
      <c r="V35" s="168">
        <v>7.2399215241706409</v>
      </c>
      <c r="W35" s="168">
        <v>7.1998201147742362</v>
      </c>
      <c r="X35" s="168">
        <v>7.4633020823417251</v>
      </c>
      <c r="Y35" s="168">
        <v>5.8528875914985976</v>
      </c>
      <c r="Z35" s="169">
        <v>5.3589775891485862</v>
      </c>
      <c r="AA35" s="170">
        <v>83.940371035308161</v>
      </c>
    </row>
    <row r="36" spans="1:27" ht="14.25" thickTop="1" thickBot="1" x14ac:dyDescent="0.25">
      <c r="A36" s="137" t="s">
        <v>624</v>
      </c>
      <c r="B36" s="110">
        <v>9.7836534475241894</v>
      </c>
      <c r="C36" s="111">
        <v>11.76132872869923</v>
      </c>
      <c r="D36" s="111">
        <v>11.565408961232629</v>
      </c>
      <c r="E36" s="111">
        <v>14.162707038323187</v>
      </c>
      <c r="F36" s="111">
        <v>14.256279815860939</v>
      </c>
      <c r="G36" s="111">
        <v>15.839591901478228</v>
      </c>
      <c r="H36" s="111">
        <v>12.180090894611848</v>
      </c>
      <c r="I36" s="111">
        <v>11.505774597940064</v>
      </c>
      <c r="J36" s="111">
        <v>11.534285395004229</v>
      </c>
      <c r="K36" s="111">
        <v>10.659260258955092</v>
      </c>
      <c r="L36" s="111">
        <v>9.8531999679021993</v>
      </c>
      <c r="M36" s="112">
        <v>9.9179468870252041</v>
      </c>
      <c r="N36" s="113">
        <v>143.01952789455703</v>
      </c>
      <c r="O36" s="167">
        <v>11.586686443531137</v>
      </c>
      <c r="P36" s="168">
        <v>11.76132872869923</v>
      </c>
      <c r="Q36" s="168">
        <v>11.565408961232629</v>
      </c>
      <c r="R36" s="168">
        <v>14.162707038323187</v>
      </c>
      <c r="S36" s="168">
        <v>14.256279815860939</v>
      </c>
      <c r="T36" s="168">
        <v>15.839591901478228</v>
      </c>
      <c r="U36" s="168">
        <v>12.180090894611848</v>
      </c>
      <c r="V36" s="168">
        <v>11.505774597940064</v>
      </c>
      <c r="W36" s="168">
        <v>11.534285395004229</v>
      </c>
      <c r="X36" s="168">
        <v>10.659260258955092</v>
      </c>
      <c r="Y36" s="168">
        <v>9.8531999679021993</v>
      </c>
      <c r="Z36" s="169">
        <v>9.9179468870252041</v>
      </c>
      <c r="AA36" s="170">
        <v>144.82256089056398</v>
      </c>
    </row>
    <row r="37" spans="1:27" ht="14.25" thickTop="1" thickBot="1" x14ac:dyDescent="0.25">
      <c r="A37" s="138" t="s">
        <v>625</v>
      </c>
      <c r="B37" s="110">
        <v>7.1332935178571431</v>
      </c>
      <c r="C37" s="111">
        <v>7.8675691793280009</v>
      </c>
      <c r="D37" s="111">
        <v>7.3866252676800004</v>
      </c>
      <c r="E37" s="111">
        <v>7.3959188749440008</v>
      </c>
      <c r="F37" s="111">
        <v>7.2250264935359994</v>
      </c>
      <c r="G37" s="111">
        <v>7.1659328371199988</v>
      </c>
      <c r="H37" s="111">
        <v>8.125182881184001</v>
      </c>
      <c r="I37" s="111">
        <v>7.9019834876160004</v>
      </c>
      <c r="J37" s="111">
        <v>9.2281553899199995</v>
      </c>
      <c r="K37" s="111">
        <v>8.8338291263999995</v>
      </c>
      <c r="L37" s="111">
        <v>7.9987454863680005</v>
      </c>
      <c r="M37" s="112">
        <v>9.3379610957760022</v>
      </c>
      <c r="N37" s="113">
        <v>95.600223637729158</v>
      </c>
      <c r="O37" s="167">
        <v>6.9795661578508792</v>
      </c>
      <c r="P37" s="168">
        <v>8.0230605629145604</v>
      </c>
      <c r="Q37" s="168">
        <v>7.5325577730335986</v>
      </c>
      <c r="R37" s="168">
        <v>7.541977252442881</v>
      </c>
      <c r="S37" s="168">
        <v>7.3676670234067192</v>
      </c>
      <c r="T37" s="168">
        <v>7.3074514938624011</v>
      </c>
      <c r="U37" s="168">
        <v>8.2858265388076813</v>
      </c>
      <c r="V37" s="168">
        <v>8.0582231573683227</v>
      </c>
      <c r="W37" s="168">
        <v>9.4108584977184009</v>
      </c>
      <c r="X37" s="168">
        <v>9.0086457089280021</v>
      </c>
      <c r="Y37" s="168">
        <v>8.1570403960953612</v>
      </c>
      <c r="Z37" s="169">
        <v>9.5228603176915225</v>
      </c>
      <c r="AA37" s="170">
        <v>97.195734880120327</v>
      </c>
    </row>
    <row r="38" spans="1:27" ht="14.25" thickTop="1" thickBot="1" x14ac:dyDescent="0.25">
      <c r="A38" s="139" t="s">
        <v>561</v>
      </c>
      <c r="B38" s="116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1">
        <v>0</v>
      </c>
      <c r="J38" s="111">
        <v>0</v>
      </c>
      <c r="K38" s="111">
        <v>0</v>
      </c>
      <c r="L38" s="111">
        <v>0</v>
      </c>
      <c r="M38" s="112">
        <v>0</v>
      </c>
      <c r="N38" s="113">
        <v>0</v>
      </c>
      <c r="O38" s="167">
        <v>0</v>
      </c>
      <c r="P38" s="168">
        <v>0</v>
      </c>
      <c r="Q38" s="168">
        <v>0</v>
      </c>
      <c r="R38" s="168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9">
        <v>0</v>
      </c>
      <c r="AA38" s="170">
        <v>0</v>
      </c>
    </row>
    <row r="39" spans="1:27" ht="14.25" thickTop="1" thickBot="1" x14ac:dyDescent="0.25">
      <c r="A39" s="140" t="s">
        <v>626</v>
      </c>
      <c r="B39" s="116">
        <v>0.85250271072967732</v>
      </c>
      <c r="C39" s="117">
        <v>0.43791317289079856</v>
      </c>
      <c r="D39" s="117">
        <v>1.4427430252925972</v>
      </c>
      <c r="E39" s="117">
        <v>2.2559276114497413</v>
      </c>
      <c r="F39" s="117">
        <v>1.7192270587343161</v>
      </c>
      <c r="G39" s="117">
        <v>2.6057725076033433</v>
      </c>
      <c r="H39" s="117">
        <v>2.5845825866497347</v>
      </c>
      <c r="I39" s="111">
        <v>4.3851946213370478</v>
      </c>
      <c r="J39" s="111">
        <v>1.2361934728906987</v>
      </c>
      <c r="K39" s="111">
        <v>1.6936696827481592</v>
      </c>
      <c r="L39" s="111">
        <v>0.79432982896915239</v>
      </c>
      <c r="M39" s="112">
        <v>0.96689136033680523</v>
      </c>
      <c r="N39" s="113">
        <v>20.974947639632074</v>
      </c>
      <c r="O39" s="167">
        <v>0.55606921746765625</v>
      </c>
      <c r="P39" s="168">
        <v>0.43350062390215588</v>
      </c>
      <c r="Q39" s="168">
        <v>1.4380960166333154</v>
      </c>
      <c r="R39" s="168">
        <v>2.2501726398098221</v>
      </c>
      <c r="S39" s="168">
        <v>1.7151710199061818</v>
      </c>
      <c r="T39" s="168">
        <v>2.6036690251072403</v>
      </c>
      <c r="U39" s="168">
        <v>2.5809569381817292</v>
      </c>
      <c r="V39" s="168">
        <v>4.4224747132626874</v>
      </c>
      <c r="W39" s="168">
        <v>1.2329037822381397</v>
      </c>
      <c r="X39" s="168">
        <v>1.691763323964621</v>
      </c>
      <c r="Y39" s="168">
        <v>0.76338077376269031</v>
      </c>
      <c r="Z39" s="169">
        <v>0.96538474828810417</v>
      </c>
      <c r="AA39" s="170">
        <v>20.653542822524347</v>
      </c>
    </row>
    <row r="40" spans="1:27" ht="14.25" thickTop="1" thickBot="1" x14ac:dyDescent="0.25">
      <c r="A40" s="141" t="s">
        <v>627</v>
      </c>
      <c r="B40" s="142">
        <v>5.7873516814129875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43">
        <v>0</v>
      </c>
      <c r="N40" s="113">
        <v>5.7873516814129875</v>
      </c>
      <c r="O40" s="187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9"/>
      <c r="AA40" s="170"/>
    </row>
    <row r="41" spans="1:27" ht="14.25" thickTop="1" thickBot="1" x14ac:dyDescent="0.25">
      <c r="A41" s="139" t="s">
        <v>639</v>
      </c>
      <c r="B41" s="142">
        <v>3.6986301369863024</v>
      </c>
      <c r="C41" s="144">
        <v>3.8219178082191791</v>
      </c>
      <c r="D41" s="144">
        <v>3.6986301369863024</v>
      </c>
      <c r="E41" s="144">
        <v>3.8219178082191791</v>
      </c>
      <c r="F41" s="144">
        <v>3.8219178082191791</v>
      </c>
      <c r="G41" s="144">
        <v>3.6986301369863024</v>
      </c>
      <c r="H41" s="144">
        <v>3.8219178082191791</v>
      </c>
      <c r="I41" s="117">
        <v>3.6986301369863024</v>
      </c>
      <c r="J41" s="117">
        <v>3.8219178082191791</v>
      </c>
      <c r="K41" s="117">
        <v>3.8219178082191791</v>
      </c>
      <c r="L41" s="117">
        <v>3.4520547945205489</v>
      </c>
      <c r="M41" s="142">
        <v>3.8219178082191791</v>
      </c>
      <c r="N41" s="113">
        <v>45.000000000000007</v>
      </c>
      <c r="O41" s="187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  <c r="AA41" s="170"/>
    </row>
    <row r="42" spans="1:27" ht="14.25" thickTop="1" thickBot="1" x14ac:dyDescent="0.25">
      <c r="A42" s="146" t="s">
        <v>630</v>
      </c>
      <c r="B42" s="147">
        <v>56.197041668607177</v>
      </c>
      <c r="C42" s="144">
        <v>54.839875328067016</v>
      </c>
      <c r="D42" s="144">
        <v>59.193011541854425</v>
      </c>
      <c r="E42" s="144">
        <v>77.449144705134827</v>
      </c>
      <c r="F42" s="144">
        <v>82.640560434634168</v>
      </c>
      <c r="G42" s="144">
        <v>105.23375533089032</v>
      </c>
      <c r="H42" s="144">
        <v>80.659509600166245</v>
      </c>
      <c r="I42" s="117">
        <v>120.49455862427988</v>
      </c>
      <c r="J42" s="117">
        <v>78.323766730392379</v>
      </c>
      <c r="K42" s="117">
        <v>64.076424651031431</v>
      </c>
      <c r="L42" s="117">
        <v>58.877585318287032</v>
      </c>
      <c r="M42" s="118">
        <v>68.022356589008027</v>
      </c>
      <c r="N42" s="148">
        <v>906.00759052235287</v>
      </c>
      <c r="O42" s="167">
        <v>48.09920976356414</v>
      </c>
      <c r="P42" s="168">
        <v>60.799398941293759</v>
      </c>
      <c r="Q42" s="168">
        <v>67.222654700698257</v>
      </c>
      <c r="R42" s="168">
        <v>74.667949281903148</v>
      </c>
      <c r="S42" s="168">
        <v>70.241484130518657</v>
      </c>
      <c r="T42" s="168">
        <v>68.177781384485655</v>
      </c>
      <c r="U42" s="168">
        <v>69.288193125899497</v>
      </c>
      <c r="V42" s="168">
        <v>116.22274297943514</v>
      </c>
      <c r="W42" s="168">
        <v>87.04000953198107</v>
      </c>
      <c r="X42" s="168">
        <v>76.145418206144299</v>
      </c>
      <c r="Y42" s="168">
        <v>47.754928430604707</v>
      </c>
      <c r="Z42" s="169">
        <v>43.104923044259188</v>
      </c>
      <c r="AA42" s="170">
        <v>828.76469352078755</v>
      </c>
    </row>
    <row r="43" spans="1:27" ht="13.5" thickBot="1" x14ac:dyDescent="0.25">
      <c r="A43" s="149" t="s">
        <v>631</v>
      </c>
      <c r="B43" s="150">
        <v>37.908156480846927</v>
      </c>
      <c r="C43" s="151">
        <v>44.13</v>
      </c>
      <c r="D43" s="151">
        <v>42.49</v>
      </c>
      <c r="E43" s="151">
        <v>43.07</v>
      </c>
      <c r="F43" s="151">
        <v>43</v>
      </c>
      <c r="G43" s="151">
        <v>44.82</v>
      </c>
      <c r="H43" s="151">
        <v>49.990000000000009</v>
      </c>
      <c r="I43" s="151">
        <v>52.95</v>
      </c>
      <c r="J43" s="151">
        <v>56.19</v>
      </c>
      <c r="K43" s="151">
        <v>57.32</v>
      </c>
      <c r="L43" s="151">
        <v>53.15</v>
      </c>
      <c r="M43" s="152">
        <v>53.7</v>
      </c>
      <c r="N43" s="153">
        <v>578.71815648084703</v>
      </c>
      <c r="O43" s="150">
        <v>46.68</v>
      </c>
      <c r="P43" s="151">
        <v>44.13</v>
      </c>
      <c r="Q43" s="151">
        <v>42.49</v>
      </c>
      <c r="R43" s="151">
        <v>43.07</v>
      </c>
      <c r="S43" s="151">
        <v>43</v>
      </c>
      <c r="T43" s="151">
        <v>44.82</v>
      </c>
      <c r="U43" s="151">
        <v>49.990000000000009</v>
      </c>
      <c r="V43" s="151">
        <v>52.95</v>
      </c>
      <c r="W43" s="151">
        <v>56.19</v>
      </c>
      <c r="X43" s="151">
        <v>57.32</v>
      </c>
      <c r="Y43" s="151">
        <v>53.15</v>
      </c>
      <c r="Z43" s="152">
        <v>53.7</v>
      </c>
      <c r="AA43" s="153">
        <v>587.49</v>
      </c>
    </row>
    <row r="44" spans="1:27" ht="13.5" thickBot="1" x14ac:dyDescent="0.25">
      <c r="A44" s="149" t="s">
        <v>632</v>
      </c>
      <c r="B44" s="195">
        <v>0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9"/>
      <c r="N44" s="153">
        <v>0</v>
      </c>
      <c r="O44" s="195">
        <v>0</v>
      </c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1"/>
      <c r="AA44" s="153">
        <v>0</v>
      </c>
    </row>
    <row r="45" spans="1:27" ht="13.5" thickBot="1" x14ac:dyDescent="0.25">
      <c r="A45" s="149" t="s">
        <v>633</v>
      </c>
      <c r="B45" s="150">
        <v>13.024985729589041</v>
      </c>
      <c r="C45" s="151">
        <v>13.459151920575342</v>
      </c>
      <c r="D45" s="151">
        <v>13.024985729589041</v>
      </c>
      <c r="E45" s="151">
        <v>13.459151920575342</v>
      </c>
      <c r="F45" s="151">
        <v>13.459151920575342</v>
      </c>
      <c r="G45" s="151">
        <v>13.024985729589041</v>
      </c>
      <c r="H45" s="151">
        <v>13.459151920575342</v>
      </c>
      <c r="I45" s="151">
        <v>13.024985729589041</v>
      </c>
      <c r="J45" s="151">
        <v>13.459151920575342</v>
      </c>
      <c r="K45" s="151">
        <v>13.459151920575342</v>
      </c>
      <c r="L45" s="151">
        <v>12.156653347616439</v>
      </c>
      <c r="M45" s="152">
        <v>13.459151920575342</v>
      </c>
      <c r="N45" s="153">
        <v>158.47065971000001</v>
      </c>
      <c r="O45" s="150">
        <v>11.120737704918033</v>
      </c>
      <c r="P45" s="151">
        <v>11.491428961748635</v>
      </c>
      <c r="Q45" s="151">
        <v>11.120737704918033</v>
      </c>
      <c r="R45" s="151">
        <v>11.491428961748635</v>
      </c>
      <c r="S45" s="151">
        <v>11.491428961748635</v>
      </c>
      <c r="T45" s="151">
        <v>11.120737704918033</v>
      </c>
      <c r="U45" s="151">
        <v>11.491428961748635</v>
      </c>
      <c r="V45" s="151">
        <v>11.120737704918033</v>
      </c>
      <c r="W45" s="151">
        <v>11.491428961748635</v>
      </c>
      <c r="X45" s="151">
        <v>11.491428961748635</v>
      </c>
      <c r="Y45" s="151">
        <v>10.750046448087431</v>
      </c>
      <c r="Z45" s="152">
        <v>11.491428961748635</v>
      </c>
      <c r="AA45" s="157">
        <v>135.673</v>
      </c>
    </row>
    <row r="46" spans="1:27" ht="13.5" thickBot="1" x14ac:dyDescent="0.25">
      <c r="A46" s="149" t="s">
        <v>634</v>
      </c>
      <c r="B46" s="154">
        <v>1.8260457332756501</v>
      </c>
      <c r="C46" s="155">
        <v>1.5476779344809055</v>
      </c>
      <c r="D46" s="155">
        <v>1.6996469115425621</v>
      </c>
      <c r="E46" s="155">
        <v>2.1107103929814293</v>
      </c>
      <c r="F46" s="155">
        <v>2.2348770315165001</v>
      </c>
      <c r="G46" s="155">
        <v>2.6385261280785222</v>
      </c>
      <c r="H46" s="155">
        <v>1.8827497803709055</v>
      </c>
      <c r="I46" s="155">
        <v>2.5216155685338792</v>
      </c>
      <c r="J46" s="155">
        <v>1.633438666149986</v>
      </c>
      <c r="K46" s="155">
        <v>1.3526792842220301</v>
      </c>
      <c r="L46" s="155">
        <v>1.3364861461129534</v>
      </c>
      <c r="M46" s="156">
        <v>1.5173465271803233</v>
      </c>
      <c r="N46" s="157">
        <v>1.8393724791794783</v>
      </c>
      <c r="O46" s="154">
        <v>1.2686364067798239</v>
      </c>
      <c r="P46" s="155">
        <v>1.6381334217775299</v>
      </c>
      <c r="Q46" s="155">
        <v>1.8438077760794607</v>
      </c>
      <c r="R46" s="155">
        <v>2.0004499243940512</v>
      </c>
      <c r="S46" s="155">
        <v>1.9007654207504023</v>
      </c>
      <c r="T46" s="155">
        <v>1.7692663786123088</v>
      </c>
      <c r="U46" s="155">
        <v>1.6159156248779381</v>
      </c>
      <c r="V46" s="155">
        <v>2.4049760280331096</v>
      </c>
      <c r="W46" s="155">
        <v>1.7535404608245189</v>
      </c>
      <c r="X46" s="155">
        <v>1.5289052192584254</v>
      </c>
      <c r="Y46" s="155">
        <v>1.1007521143686199</v>
      </c>
      <c r="Z46" s="156">
        <v>1.0166918436872965</v>
      </c>
      <c r="AA46" s="157">
        <v>1.6416240166143892</v>
      </c>
    </row>
  </sheetData>
  <mergeCells count="3">
    <mergeCell ref="B21:M21"/>
    <mergeCell ref="B44:M44"/>
    <mergeCell ref="O44:Z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6"/>
  <sheetViews>
    <sheetView tabSelected="1" workbookViewId="0">
      <selection activeCell="B3" sqref="B3:C3"/>
    </sheetView>
  </sheetViews>
  <sheetFormatPr defaultRowHeight="12.75" x14ac:dyDescent="0.2"/>
  <cols>
    <col min="2" max="2" width="21" bestFit="1" customWidth="1"/>
    <col min="3" max="3" width="26.42578125" bestFit="1" customWidth="1"/>
  </cols>
  <sheetData>
    <row r="2" spans="2:13" ht="13.5" thickBot="1" x14ac:dyDescent="0.25"/>
    <row r="3" spans="2:13" ht="93" x14ac:dyDescent="0.2">
      <c r="B3" s="202" t="s">
        <v>640</v>
      </c>
      <c r="C3" s="203"/>
      <c r="D3" s="204" t="s">
        <v>641</v>
      </c>
      <c r="E3" s="205" t="s">
        <v>642</v>
      </c>
      <c r="F3" s="205" t="s">
        <v>643</v>
      </c>
      <c r="G3" s="206" t="s">
        <v>644</v>
      </c>
      <c r="H3" s="204" t="s">
        <v>645</v>
      </c>
      <c r="I3" s="207" t="s">
        <v>646</v>
      </c>
      <c r="J3" s="206" t="s">
        <v>647</v>
      </c>
      <c r="K3" s="208" t="s">
        <v>648</v>
      </c>
      <c r="L3" s="207" t="s">
        <v>649</v>
      </c>
      <c r="M3" s="209" t="s">
        <v>650</v>
      </c>
    </row>
    <row r="4" spans="2:13" x14ac:dyDescent="0.2">
      <c r="B4" s="210" t="s">
        <v>615</v>
      </c>
      <c r="C4" s="211"/>
      <c r="D4" s="212">
        <v>-8.3311680859999981</v>
      </c>
      <c r="E4" s="212">
        <v>0</v>
      </c>
      <c r="F4" s="212">
        <v>-2.6798968886000019</v>
      </c>
      <c r="G4" s="213">
        <v>0</v>
      </c>
      <c r="H4" s="212">
        <v>-8.3311680859999981</v>
      </c>
      <c r="I4" s="212">
        <v>0</v>
      </c>
      <c r="J4" s="213">
        <v>0</v>
      </c>
      <c r="K4" s="212">
        <v>-73.895520834364277</v>
      </c>
      <c r="L4" s="212">
        <v>0</v>
      </c>
      <c r="M4" s="214">
        <v>0</v>
      </c>
    </row>
    <row r="5" spans="2:13" x14ac:dyDescent="0.2">
      <c r="B5" s="215"/>
      <c r="C5" s="216" t="s">
        <v>651</v>
      </c>
      <c r="D5" s="217">
        <v>-8.4402598389999977</v>
      </c>
      <c r="E5" s="217">
        <v>0</v>
      </c>
      <c r="F5" s="217">
        <v>-2.6798968886000019</v>
      </c>
      <c r="G5" s="217">
        <v>0</v>
      </c>
      <c r="H5" s="217">
        <v>-8.4402598389999977</v>
      </c>
      <c r="I5" s="217">
        <v>0</v>
      </c>
      <c r="J5" s="217">
        <v>0</v>
      </c>
      <c r="K5" s="217">
        <v>-74.004612587364278</v>
      </c>
      <c r="L5" s="217">
        <v>0</v>
      </c>
      <c r="M5" s="218">
        <v>0</v>
      </c>
    </row>
    <row r="6" spans="2:13" x14ac:dyDescent="0.2">
      <c r="B6" s="215"/>
      <c r="C6" s="216" t="s">
        <v>652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8">
        <v>0</v>
      </c>
    </row>
    <row r="7" spans="2:13" x14ac:dyDescent="0.2">
      <c r="B7" s="215"/>
      <c r="C7" s="216" t="s">
        <v>653</v>
      </c>
      <c r="D7" s="217">
        <v>0.10909175300000001</v>
      </c>
      <c r="E7" s="217">
        <v>0</v>
      </c>
      <c r="F7" s="217">
        <v>0</v>
      </c>
      <c r="G7" s="217">
        <v>0</v>
      </c>
      <c r="H7" s="217">
        <v>0.10909175300000001</v>
      </c>
      <c r="I7" s="217">
        <v>0</v>
      </c>
      <c r="J7" s="217">
        <v>0</v>
      </c>
      <c r="K7" s="217">
        <v>0.10909175300000001</v>
      </c>
      <c r="L7" s="217">
        <v>0</v>
      </c>
      <c r="M7" s="218">
        <v>0</v>
      </c>
    </row>
    <row r="8" spans="2:13" x14ac:dyDescent="0.2">
      <c r="B8" s="219" t="s">
        <v>616</v>
      </c>
      <c r="C8" s="220"/>
      <c r="D8" s="212">
        <v>5.7676772932786609</v>
      </c>
      <c r="E8" s="212">
        <v>0</v>
      </c>
      <c r="F8" s="212">
        <v>2.8531970298059797</v>
      </c>
      <c r="G8" s="212">
        <v>0</v>
      </c>
      <c r="H8" s="212">
        <v>5.7676772932786609</v>
      </c>
      <c r="I8" s="212">
        <v>0</v>
      </c>
      <c r="J8" s="212">
        <v>0</v>
      </c>
      <c r="K8" s="212">
        <v>175.30631235363762</v>
      </c>
      <c r="L8" s="212">
        <v>0</v>
      </c>
      <c r="M8" s="214">
        <v>0</v>
      </c>
    </row>
    <row r="9" spans="2:13" x14ac:dyDescent="0.2">
      <c r="B9" s="215"/>
      <c r="C9" s="221" t="s">
        <v>654</v>
      </c>
      <c r="D9" s="222">
        <v>2.8191383402030805</v>
      </c>
      <c r="E9" s="222">
        <v>0</v>
      </c>
      <c r="F9" s="222">
        <v>1.6652967255125</v>
      </c>
      <c r="G9" s="222">
        <v>0</v>
      </c>
      <c r="H9" s="222">
        <v>2.8191383402030805</v>
      </c>
      <c r="I9" s="222">
        <v>0</v>
      </c>
      <c r="J9" s="222">
        <v>0</v>
      </c>
      <c r="K9" s="222">
        <v>85.73972978386125</v>
      </c>
      <c r="L9" s="222">
        <v>0</v>
      </c>
      <c r="M9" s="223">
        <v>0</v>
      </c>
    </row>
    <row r="10" spans="2:13" ht="17.25" x14ac:dyDescent="0.2">
      <c r="B10" s="215"/>
      <c r="C10" s="221" t="s">
        <v>655</v>
      </c>
      <c r="D10" s="222">
        <v>1.31699790166078</v>
      </c>
      <c r="E10" s="222">
        <v>0</v>
      </c>
      <c r="F10" s="222">
        <v>0.67314337946475</v>
      </c>
      <c r="G10" s="222">
        <v>0</v>
      </c>
      <c r="H10" s="222">
        <v>1.31699790166078</v>
      </c>
      <c r="I10" s="222">
        <v>0</v>
      </c>
      <c r="J10" s="222">
        <v>0</v>
      </c>
      <c r="K10" s="222">
        <v>43.658496463009179</v>
      </c>
      <c r="L10" s="222">
        <v>0</v>
      </c>
      <c r="M10" s="223">
        <v>0</v>
      </c>
    </row>
    <row r="11" spans="2:13" x14ac:dyDescent="0.2">
      <c r="B11" s="215"/>
      <c r="C11" s="221" t="s">
        <v>652</v>
      </c>
      <c r="D11" s="222">
        <v>1.073614407</v>
      </c>
      <c r="E11" s="222">
        <v>0</v>
      </c>
      <c r="F11" s="222">
        <v>0.51475692482873003</v>
      </c>
      <c r="G11" s="222">
        <v>0</v>
      </c>
      <c r="H11" s="222">
        <v>1.073614407</v>
      </c>
      <c r="I11" s="222">
        <v>0</v>
      </c>
      <c r="J11" s="222">
        <v>0</v>
      </c>
      <c r="K11" s="222">
        <v>33.518629840762351</v>
      </c>
      <c r="L11" s="222">
        <v>0</v>
      </c>
      <c r="M11" s="223">
        <v>0</v>
      </c>
    </row>
    <row r="12" spans="2:13" ht="25.5" x14ac:dyDescent="0.2">
      <c r="B12" s="215"/>
      <c r="C12" s="221" t="s">
        <v>656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3">
        <v>0</v>
      </c>
    </row>
    <row r="13" spans="2:13" ht="25.5" x14ac:dyDescent="0.2">
      <c r="B13" s="215"/>
      <c r="C13" s="221" t="s">
        <v>657</v>
      </c>
      <c r="D13" s="222">
        <v>0.55803232341480002</v>
      </c>
      <c r="E13" s="222">
        <v>0</v>
      </c>
      <c r="F13" s="222">
        <v>0</v>
      </c>
      <c r="G13" s="222">
        <v>0</v>
      </c>
      <c r="H13" s="222">
        <v>0.55803232341480002</v>
      </c>
      <c r="I13" s="222">
        <v>0</v>
      </c>
      <c r="J13" s="222">
        <v>0</v>
      </c>
      <c r="K13" s="222">
        <v>12.389561945004864</v>
      </c>
      <c r="L13" s="222">
        <v>0</v>
      </c>
      <c r="M13" s="223">
        <v>0</v>
      </c>
    </row>
    <row r="14" spans="2:13" x14ac:dyDescent="0.2">
      <c r="B14" s="215"/>
      <c r="C14" s="221" t="s">
        <v>653</v>
      </c>
      <c r="D14" s="222">
        <v>1.8186330000000001E-3</v>
      </c>
      <c r="E14" s="222">
        <v>0</v>
      </c>
      <c r="F14" s="222">
        <v>0</v>
      </c>
      <c r="G14" s="222">
        <v>0</v>
      </c>
      <c r="H14" s="222">
        <v>1.8186330000000001E-3</v>
      </c>
      <c r="I14" s="222">
        <v>0</v>
      </c>
      <c r="J14" s="222">
        <v>0</v>
      </c>
      <c r="K14" s="222">
        <v>1.8186330000000001E-3</v>
      </c>
      <c r="L14" s="222">
        <v>0</v>
      </c>
      <c r="M14" s="223">
        <v>0</v>
      </c>
    </row>
    <row r="15" spans="2:13" ht="25.5" x14ac:dyDescent="0.2">
      <c r="B15" s="215"/>
      <c r="C15" s="221" t="s">
        <v>658</v>
      </c>
      <c r="D15" s="222">
        <v>-1.9243119999999999E-3</v>
      </c>
      <c r="E15" s="222">
        <v>0</v>
      </c>
      <c r="F15" s="222">
        <v>0</v>
      </c>
      <c r="G15" s="222">
        <v>0</v>
      </c>
      <c r="H15" s="222">
        <v>-1.9243119999999999E-3</v>
      </c>
      <c r="I15" s="222">
        <v>0</v>
      </c>
      <c r="J15" s="222">
        <v>0</v>
      </c>
      <c r="K15" s="222">
        <v>-1.9243119999999999E-3</v>
      </c>
      <c r="L15" s="222">
        <v>0</v>
      </c>
      <c r="M15" s="223">
        <v>0</v>
      </c>
    </row>
    <row r="16" spans="2:13" ht="17.25" x14ac:dyDescent="0.2">
      <c r="B16" s="215"/>
      <c r="C16" s="221" t="s">
        <v>659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3">
        <v>0</v>
      </c>
    </row>
    <row r="17" spans="2:13" ht="17.25" x14ac:dyDescent="0.2">
      <c r="B17" s="215"/>
      <c r="C17" s="221" t="s">
        <v>660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3">
        <v>0</v>
      </c>
    </row>
    <row r="18" spans="2:13" x14ac:dyDescent="0.2">
      <c r="B18" s="224" t="s">
        <v>617</v>
      </c>
      <c r="C18" s="225"/>
      <c r="D18" s="226">
        <v>6.1285500000000007E-2</v>
      </c>
      <c r="E18" s="226">
        <v>0</v>
      </c>
      <c r="F18" s="226">
        <v>0.04</v>
      </c>
      <c r="G18" s="226">
        <v>0</v>
      </c>
      <c r="H18" s="226">
        <v>6.1285500000000007E-2</v>
      </c>
      <c r="I18" s="226">
        <v>0</v>
      </c>
      <c r="J18" s="226">
        <v>0</v>
      </c>
      <c r="K18" s="226">
        <v>0.88407356000000026</v>
      </c>
      <c r="L18" s="226">
        <v>0</v>
      </c>
      <c r="M18" s="227">
        <v>0</v>
      </c>
    </row>
    <row r="19" spans="2:13" x14ac:dyDescent="0.2">
      <c r="B19" s="228" t="s">
        <v>618</v>
      </c>
      <c r="C19" s="220"/>
      <c r="D19" s="212">
        <v>5.6239510668207</v>
      </c>
      <c r="E19" s="212">
        <v>0</v>
      </c>
      <c r="F19" s="212">
        <v>3.8401968426389357</v>
      </c>
      <c r="G19" s="212">
        <v>0</v>
      </c>
      <c r="H19" s="212">
        <v>5.6239510668207</v>
      </c>
      <c r="I19" s="212">
        <v>0</v>
      </c>
      <c r="J19" s="212">
        <v>0</v>
      </c>
      <c r="K19" s="212">
        <v>76.944013351136746</v>
      </c>
      <c r="L19" s="212">
        <v>0</v>
      </c>
      <c r="M19" s="214">
        <v>0</v>
      </c>
    </row>
    <row r="20" spans="2:13" ht="17.25" x14ac:dyDescent="0.2">
      <c r="B20" s="215"/>
      <c r="C20" s="229" t="s">
        <v>661</v>
      </c>
      <c r="D20" s="230">
        <v>0.40951910682069997</v>
      </c>
      <c r="E20" s="230">
        <v>0</v>
      </c>
      <c r="F20" s="230">
        <v>0.193802591138936</v>
      </c>
      <c r="G20" s="230">
        <v>0</v>
      </c>
      <c r="H20" s="230">
        <v>0.40951910682069997</v>
      </c>
      <c r="I20" s="230">
        <v>0</v>
      </c>
      <c r="J20" s="230">
        <v>0</v>
      </c>
      <c r="K20" s="230">
        <v>5.5126408285238506</v>
      </c>
      <c r="L20" s="230">
        <v>0</v>
      </c>
      <c r="M20" s="231">
        <v>0</v>
      </c>
    </row>
    <row r="21" spans="2:13" x14ac:dyDescent="0.2">
      <c r="B21" s="215"/>
      <c r="C21" s="232" t="s">
        <v>662</v>
      </c>
      <c r="D21" s="230">
        <v>1.7452178000000003</v>
      </c>
      <c r="E21" s="230">
        <v>0</v>
      </c>
      <c r="F21" s="230">
        <v>0.77642524049999995</v>
      </c>
      <c r="G21" s="230">
        <v>0</v>
      </c>
      <c r="H21" s="230">
        <v>1.7452178000000003</v>
      </c>
      <c r="I21" s="230">
        <v>0</v>
      </c>
      <c r="J21" s="230">
        <v>0</v>
      </c>
      <c r="K21" s="230">
        <v>30.9236729731129</v>
      </c>
      <c r="L21" s="230">
        <v>0</v>
      </c>
      <c r="M21" s="231">
        <v>0</v>
      </c>
    </row>
    <row r="22" spans="2:13" x14ac:dyDescent="0.2">
      <c r="B22" s="215"/>
      <c r="C22" s="232" t="s">
        <v>663</v>
      </c>
      <c r="D22" s="230">
        <v>2.0764084999999999</v>
      </c>
      <c r="E22" s="230">
        <v>0</v>
      </c>
      <c r="F22" s="230">
        <v>1.9183066769999999</v>
      </c>
      <c r="G22" s="230">
        <v>0</v>
      </c>
      <c r="H22" s="230">
        <v>2.0764084999999999</v>
      </c>
      <c r="I22" s="230">
        <v>0</v>
      </c>
      <c r="J22" s="230">
        <v>0</v>
      </c>
      <c r="K22" s="230">
        <v>26.330209042999996</v>
      </c>
      <c r="L22" s="230">
        <v>0</v>
      </c>
      <c r="M22" s="231">
        <v>0</v>
      </c>
    </row>
    <row r="23" spans="2:13" x14ac:dyDescent="0.2">
      <c r="B23" s="215"/>
      <c r="C23" s="232" t="s">
        <v>664</v>
      </c>
      <c r="D23" s="230">
        <v>1.3928056600000001</v>
      </c>
      <c r="E23" s="230">
        <v>0</v>
      </c>
      <c r="F23" s="230">
        <v>0.80853998400000004</v>
      </c>
      <c r="G23" s="230">
        <v>0</v>
      </c>
      <c r="H23" s="230">
        <v>1.3928056600000001</v>
      </c>
      <c r="I23" s="230">
        <v>0</v>
      </c>
      <c r="J23" s="230">
        <v>0</v>
      </c>
      <c r="K23" s="230">
        <v>14.958036388</v>
      </c>
      <c r="L23" s="230">
        <v>0</v>
      </c>
      <c r="M23" s="231">
        <v>0</v>
      </c>
    </row>
    <row r="24" spans="2:13" x14ac:dyDescent="0.2">
      <c r="B24" s="215"/>
      <c r="C24" s="232" t="s">
        <v>665</v>
      </c>
      <c r="D24" s="230">
        <v>0</v>
      </c>
      <c r="E24" s="230">
        <v>0</v>
      </c>
      <c r="F24" s="230">
        <v>0.14312235000000001</v>
      </c>
      <c r="G24" s="230">
        <v>0</v>
      </c>
      <c r="H24" s="230">
        <v>0</v>
      </c>
      <c r="I24" s="230">
        <v>0</v>
      </c>
      <c r="J24" s="230">
        <v>0</v>
      </c>
      <c r="K24" s="230">
        <v>-0.78054588150000004</v>
      </c>
      <c r="L24" s="230">
        <v>0</v>
      </c>
      <c r="M24" s="231">
        <v>0</v>
      </c>
    </row>
    <row r="25" spans="2:13" x14ac:dyDescent="0.2">
      <c r="B25" s="233" t="s">
        <v>666</v>
      </c>
      <c r="C25" s="220"/>
      <c r="D25" s="212">
        <v>18.0572341157111</v>
      </c>
      <c r="E25" s="212"/>
      <c r="F25" s="212"/>
      <c r="G25" s="212"/>
      <c r="H25" s="212">
        <v>18.0572341157111</v>
      </c>
      <c r="I25" s="212"/>
      <c r="J25" s="212"/>
      <c r="K25" s="212"/>
      <c r="L25" s="212"/>
      <c r="M25" s="214"/>
    </row>
    <row r="26" spans="2:13" x14ac:dyDescent="0.2">
      <c r="B26" s="215"/>
      <c r="C26" s="234" t="s">
        <v>651</v>
      </c>
      <c r="D26" s="235">
        <v>11.91532344502866</v>
      </c>
      <c r="E26" s="236">
        <v>0</v>
      </c>
      <c r="F26" s="236">
        <v>9.0696774321851183</v>
      </c>
      <c r="G26" s="236">
        <v>0</v>
      </c>
      <c r="H26" s="235">
        <v>11.91532344502866</v>
      </c>
      <c r="I26" s="236">
        <v>0</v>
      </c>
      <c r="J26" s="236">
        <v>0</v>
      </c>
      <c r="K26" s="236">
        <v>304.53216071883537</v>
      </c>
      <c r="L26" s="236">
        <v>0</v>
      </c>
      <c r="M26" s="237">
        <v>0</v>
      </c>
    </row>
    <row r="27" spans="2:13" x14ac:dyDescent="0.2">
      <c r="B27" s="215"/>
      <c r="C27" s="234" t="s">
        <v>652</v>
      </c>
      <c r="D27" s="235">
        <v>4.9900809330424405</v>
      </c>
      <c r="E27" s="236"/>
      <c r="F27" s="236"/>
      <c r="G27" s="236"/>
      <c r="H27" s="235">
        <v>4.9900809330424405</v>
      </c>
      <c r="I27" s="236"/>
      <c r="J27" s="236"/>
      <c r="K27" s="236"/>
      <c r="L27" s="236"/>
      <c r="M27" s="237"/>
    </row>
    <row r="28" spans="2:13" x14ac:dyDescent="0.2">
      <c r="B28" s="238"/>
      <c r="C28" s="234" t="s">
        <v>653</v>
      </c>
      <c r="D28" s="235">
        <v>0</v>
      </c>
      <c r="E28" s="236"/>
      <c r="F28" s="236"/>
      <c r="G28" s="236"/>
      <c r="H28" s="235">
        <v>0</v>
      </c>
      <c r="I28" s="236"/>
      <c r="J28" s="236"/>
      <c r="K28" s="236"/>
      <c r="L28" s="236"/>
      <c r="M28" s="237"/>
    </row>
    <row r="29" spans="2:13" ht="17.25" x14ac:dyDescent="0.2">
      <c r="B29" s="215"/>
      <c r="C29" s="234" t="s">
        <v>667</v>
      </c>
      <c r="D29" s="235">
        <v>1.15182973764</v>
      </c>
      <c r="E29" s="236"/>
      <c r="F29" s="236"/>
      <c r="G29" s="236"/>
      <c r="H29" s="235">
        <v>1.15182973764</v>
      </c>
      <c r="I29" s="236"/>
      <c r="J29" s="236"/>
      <c r="K29" s="236"/>
      <c r="L29" s="236"/>
      <c r="M29" s="237"/>
    </row>
    <row r="30" spans="2:13" x14ac:dyDescent="0.2">
      <c r="B30" s="239" t="s">
        <v>622</v>
      </c>
      <c r="C30" s="240"/>
      <c r="D30" s="241">
        <v>1.19914871521864</v>
      </c>
      <c r="E30" s="241">
        <v>0</v>
      </c>
      <c r="F30" s="241">
        <v>6.5033518032403204E-2</v>
      </c>
      <c r="G30" s="241">
        <v>0</v>
      </c>
      <c r="H30" s="241">
        <v>1.19914871521864</v>
      </c>
      <c r="I30" s="241">
        <v>0</v>
      </c>
      <c r="J30" s="241">
        <v>0</v>
      </c>
      <c r="K30" s="241">
        <v>25.841730360819042</v>
      </c>
      <c r="L30" s="241">
        <v>0</v>
      </c>
      <c r="M30" s="242">
        <v>0</v>
      </c>
    </row>
    <row r="31" spans="2:13" x14ac:dyDescent="0.2">
      <c r="B31" s="243"/>
      <c r="C31" s="244" t="s">
        <v>651</v>
      </c>
      <c r="D31" s="245">
        <v>0.25289099498791001</v>
      </c>
      <c r="E31" s="245">
        <v>0</v>
      </c>
      <c r="F31" s="245">
        <v>3.8773591263400804E-2</v>
      </c>
      <c r="G31" s="245">
        <v>0</v>
      </c>
      <c r="H31" s="245">
        <v>0.25289099498791001</v>
      </c>
      <c r="I31" s="245">
        <v>0</v>
      </c>
      <c r="J31" s="245">
        <v>0</v>
      </c>
      <c r="K31" s="245">
        <v>8.0049060690213469</v>
      </c>
      <c r="L31" s="245">
        <v>0</v>
      </c>
      <c r="M31" s="246">
        <v>0</v>
      </c>
    </row>
    <row r="32" spans="2:13" x14ac:dyDescent="0.2">
      <c r="B32" s="243"/>
      <c r="C32" s="244" t="s">
        <v>652</v>
      </c>
      <c r="D32" s="245">
        <v>0.94625772023072996</v>
      </c>
      <c r="E32" s="245">
        <v>0</v>
      </c>
      <c r="F32" s="245">
        <v>2.6259926769002399E-2</v>
      </c>
      <c r="G32" s="245">
        <v>0</v>
      </c>
      <c r="H32" s="245">
        <v>0.94625772023072996</v>
      </c>
      <c r="I32" s="245">
        <v>0</v>
      </c>
      <c r="J32" s="245">
        <v>0</v>
      </c>
      <c r="K32" s="245">
        <v>17.836824291797697</v>
      </c>
      <c r="L32" s="245">
        <v>0</v>
      </c>
      <c r="M32" s="246">
        <v>0</v>
      </c>
    </row>
    <row r="33" spans="2:13" x14ac:dyDescent="0.2">
      <c r="B33" s="243"/>
      <c r="C33" s="244" t="s">
        <v>653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6">
        <v>0</v>
      </c>
    </row>
    <row r="34" spans="2:13" x14ac:dyDescent="0.2">
      <c r="B34" s="247" t="s">
        <v>623</v>
      </c>
      <c r="C34" s="220"/>
      <c r="D34" s="212">
        <v>6.5634815690677755</v>
      </c>
      <c r="E34" s="212">
        <v>0</v>
      </c>
      <c r="F34" s="212">
        <v>9.1019704507475101</v>
      </c>
      <c r="G34" s="212">
        <v>0</v>
      </c>
      <c r="H34" s="212">
        <v>6.5634815690677755</v>
      </c>
      <c r="I34" s="212">
        <v>0</v>
      </c>
      <c r="J34" s="212">
        <v>0</v>
      </c>
      <c r="K34" s="212">
        <v>86.012770158956656</v>
      </c>
      <c r="L34" s="212">
        <v>0</v>
      </c>
      <c r="M34" s="214">
        <v>0</v>
      </c>
    </row>
    <row r="35" spans="2:13" x14ac:dyDescent="0.2">
      <c r="B35" s="215"/>
      <c r="C35" s="248" t="s">
        <v>651</v>
      </c>
      <c r="D35" s="249">
        <v>1.11192130335349</v>
      </c>
      <c r="E35" s="249">
        <v>0</v>
      </c>
      <c r="F35" s="249">
        <v>2.1910906277475082</v>
      </c>
      <c r="G35" s="249">
        <v>0</v>
      </c>
      <c r="H35" s="249">
        <v>1.11192130335349</v>
      </c>
      <c r="I35" s="249">
        <v>0</v>
      </c>
      <c r="J35" s="249">
        <v>0</v>
      </c>
      <c r="K35" s="249">
        <v>17.808569463599547</v>
      </c>
      <c r="L35" s="249">
        <v>0</v>
      </c>
      <c r="M35" s="250">
        <v>0</v>
      </c>
    </row>
    <row r="36" spans="2:13" x14ac:dyDescent="0.2">
      <c r="B36" s="215"/>
      <c r="C36" s="248" t="s">
        <v>668</v>
      </c>
      <c r="D36" s="249">
        <v>0.89780949999999971</v>
      </c>
      <c r="E36" s="249">
        <v>0</v>
      </c>
      <c r="F36" s="249">
        <v>1.0313779500000004</v>
      </c>
      <c r="G36" s="249">
        <v>0</v>
      </c>
      <c r="H36" s="249">
        <v>0.89780949999999971</v>
      </c>
      <c r="I36" s="249">
        <v>0</v>
      </c>
      <c r="J36" s="249">
        <v>0</v>
      </c>
      <c r="K36" s="249">
        <v>13.33087411799996</v>
      </c>
      <c r="L36" s="249">
        <v>0</v>
      </c>
      <c r="M36" s="250">
        <v>0</v>
      </c>
    </row>
    <row r="37" spans="2:13" x14ac:dyDescent="0.2">
      <c r="B37" s="251"/>
      <c r="C37" s="248" t="s">
        <v>669</v>
      </c>
      <c r="D37" s="249">
        <v>3.5883018700000004</v>
      </c>
      <c r="E37" s="249">
        <v>0</v>
      </c>
      <c r="F37" s="249">
        <v>4.6653868630000002</v>
      </c>
      <c r="G37" s="249">
        <v>0</v>
      </c>
      <c r="H37" s="249">
        <v>3.5883018700000004</v>
      </c>
      <c r="I37" s="249">
        <v>0</v>
      </c>
      <c r="J37" s="249">
        <v>0</v>
      </c>
      <c r="K37" s="249">
        <v>42.370668185500008</v>
      </c>
      <c r="L37" s="249">
        <v>0</v>
      </c>
      <c r="M37" s="250">
        <v>0</v>
      </c>
    </row>
    <row r="38" spans="2:13" x14ac:dyDescent="0.2">
      <c r="B38" s="215"/>
      <c r="C38" s="248" t="s">
        <v>670</v>
      </c>
      <c r="D38" s="249">
        <v>4.3251754857142863</v>
      </c>
      <c r="E38" s="249">
        <v>0</v>
      </c>
      <c r="F38" s="249">
        <v>5.5525796745000005</v>
      </c>
      <c r="G38" s="249">
        <v>0</v>
      </c>
      <c r="H38" s="249">
        <v>4.3251754857142863</v>
      </c>
      <c r="I38" s="249">
        <v>0</v>
      </c>
      <c r="J38" s="249">
        <v>0</v>
      </c>
      <c r="K38" s="249">
        <v>51.090710904857133</v>
      </c>
      <c r="L38" s="249">
        <v>0</v>
      </c>
      <c r="M38" s="250">
        <v>0</v>
      </c>
    </row>
    <row r="39" spans="2:13" x14ac:dyDescent="0.2">
      <c r="B39" s="215"/>
      <c r="C39" s="248" t="s">
        <v>671</v>
      </c>
      <c r="D39" s="249">
        <v>0.22857528000000002</v>
      </c>
      <c r="E39" s="249">
        <v>0</v>
      </c>
      <c r="F39" s="249">
        <v>0.32692219849999987</v>
      </c>
      <c r="G39" s="249">
        <v>0</v>
      </c>
      <c r="H39" s="249">
        <v>0.22857528000000002</v>
      </c>
      <c r="I39" s="249">
        <v>0</v>
      </c>
      <c r="J39" s="249">
        <v>0</v>
      </c>
      <c r="K39" s="249">
        <v>3.7826156725000084</v>
      </c>
      <c r="L39" s="249">
        <v>0</v>
      </c>
      <c r="M39" s="250">
        <v>0</v>
      </c>
    </row>
    <row r="40" spans="2:13" x14ac:dyDescent="0.2">
      <c r="B40" s="252" t="s">
        <v>624</v>
      </c>
      <c r="C40" s="220"/>
      <c r="D40" s="212">
        <v>9.7836534475241894</v>
      </c>
      <c r="E40" s="212">
        <v>0</v>
      </c>
      <c r="F40" s="212">
        <v>11.586686443531139</v>
      </c>
      <c r="G40" s="212">
        <v>0</v>
      </c>
      <c r="H40" s="212">
        <v>9.7836534475241894</v>
      </c>
      <c r="I40" s="212">
        <v>0</v>
      </c>
      <c r="J40" s="212">
        <v>0</v>
      </c>
      <c r="K40" s="212">
        <v>143.01952789455703</v>
      </c>
      <c r="L40" s="212">
        <v>0</v>
      </c>
      <c r="M40" s="214">
        <v>0</v>
      </c>
    </row>
    <row r="41" spans="2:13" x14ac:dyDescent="0.2">
      <c r="B41" s="215"/>
      <c r="C41" s="253" t="s">
        <v>651</v>
      </c>
      <c r="D41" s="254">
        <v>2.2537690139527604</v>
      </c>
      <c r="E41" s="254">
        <v>0</v>
      </c>
      <c r="F41" s="254">
        <v>0.42138593353113984</v>
      </c>
      <c r="G41" s="254">
        <v>0</v>
      </c>
      <c r="H41" s="254">
        <v>2.2537690139527604</v>
      </c>
      <c r="I41" s="254">
        <v>0</v>
      </c>
      <c r="J41" s="254">
        <v>0</v>
      </c>
      <c r="K41" s="254">
        <v>24.716117023128465</v>
      </c>
      <c r="L41" s="254">
        <v>0</v>
      </c>
      <c r="M41" s="255">
        <v>0</v>
      </c>
    </row>
    <row r="42" spans="2:13" x14ac:dyDescent="0.2">
      <c r="B42" s="215"/>
      <c r="C42" s="253" t="s">
        <v>672</v>
      </c>
      <c r="D42" s="254">
        <v>2.1408184399999999</v>
      </c>
      <c r="E42" s="254">
        <v>0</v>
      </c>
      <c r="F42" s="254">
        <v>1.14272551</v>
      </c>
      <c r="G42" s="254">
        <v>0</v>
      </c>
      <c r="H42" s="254">
        <v>2.1408184399999999</v>
      </c>
      <c r="I42" s="254">
        <v>0</v>
      </c>
      <c r="J42" s="254">
        <v>0</v>
      </c>
      <c r="K42" s="254">
        <v>26.662439529999986</v>
      </c>
      <c r="L42" s="254">
        <v>0</v>
      </c>
      <c r="M42" s="255">
        <v>0</v>
      </c>
    </row>
    <row r="43" spans="2:13" x14ac:dyDescent="0.2">
      <c r="B43" s="215"/>
      <c r="C43" s="253" t="s">
        <v>673</v>
      </c>
      <c r="D43" s="254">
        <v>0.22036280357142873</v>
      </c>
      <c r="E43" s="254">
        <v>0</v>
      </c>
      <c r="F43" s="254">
        <v>0.23584558999999999</v>
      </c>
      <c r="G43" s="254">
        <v>0</v>
      </c>
      <c r="H43" s="254">
        <v>0.22036280357142873</v>
      </c>
      <c r="I43" s="254">
        <v>0</v>
      </c>
      <c r="J43" s="254">
        <v>0</v>
      </c>
      <c r="K43" s="254">
        <v>4.6144234014285788</v>
      </c>
      <c r="L43" s="254">
        <v>0</v>
      </c>
      <c r="M43" s="255">
        <v>0</v>
      </c>
    </row>
    <row r="44" spans="2:13" x14ac:dyDescent="0.2">
      <c r="B44" s="215" t="s">
        <v>674</v>
      </c>
      <c r="C44" s="253" t="s">
        <v>675</v>
      </c>
      <c r="D44" s="254">
        <v>0.12087727000000001</v>
      </c>
      <c r="E44" s="254">
        <v>0</v>
      </c>
      <c r="F44" s="254">
        <v>7.1134799999999984E-3</v>
      </c>
      <c r="G44" s="254">
        <v>0</v>
      </c>
      <c r="H44" s="254">
        <v>0.12087727000000001</v>
      </c>
      <c r="I44" s="254">
        <v>0</v>
      </c>
      <c r="J44" s="254">
        <v>0</v>
      </c>
      <c r="K44" s="254">
        <v>0.69865103000000051</v>
      </c>
      <c r="L44" s="254">
        <v>0</v>
      </c>
      <c r="M44" s="255">
        <v>0</v>
      </c>
    </row>
    <row r="45" spans="2:13" x14ac:dyDescent="0.2">
      <c r="B45" s="215"/>
      <c r="C45" s="253" t="s">
        <v>676</v>
      </c>
      <c r="D45" s="254">
        <v>5.0478259200000002</v>
      </c>
      <c r="E45" s="254">
        <v>0</v>
      </c>
      <c r="F45" s="254">
        <v>9.7796159299999985</v>
      </c>
      <c r="G45" s="254">
        <v>0</v>
      </c>
      <c r="H45" s="254">
        <v>5.0478259200000002</v>
      </c>
      <c r="I45" s="254">
        <v>0</v>
      </c>
      <c r="J45" s="254">
        <v>0</v>
      </c>
      <c r="K45" s="254">
        <v>86.327896910000007</v>
      </c>
      <c r="L45" s="254">
        <v>0</v>
      </c>
      <c r="M45" s="255">
        <v>0</v>
      </c>
    </row>
    <row r="46" spans="2:13" x14ac:dyDescent="0.2">
      <c r="B46" s="256" t="s">
        <v>625</v>
      </c>
      <c r="C46" s="220"/>
      <c r="D46" s="212">
        <v>7.1332935178571422</v>
      </c>
      <c r="E46" s="212">
        <v>0</v>
      </c>
      <c r="F46" s="212">
        <v>6.8444766253439999</v>
      </c>
      <c r="G46" s="212">
        <v>0</v>
      </c>
      <c r="H46" s="212">
        <v>7.1332935178571422</v>
      </c>
      <c r="I46" s="212">
        <v>0</v>
      </c>
      <c r="J46" s="212">
        <v>0</v>
      </c>
      <c r="K46" s="212">
        <v>95.600223637729187</v>
      </c>
      <c r="L46" s="212">
        <v>0</v>
      </c>
      <c r="M46" s="214">
        <v>0</v>
      </c>
    </row>
    <row r="47" spans="2:13" x14ac:dyDescent="0.2">
      <c r="B47" s="215"/>
      <c r="C47" s="257" t="s">
        <v>677</v>
      </c>
      <c r="D47" s="258">
        <v>7.0412419999999996</v>
      </c>
      <c r="E47" s="258">
        <v>0</v>
      </c>
      <c r="F47" s="258">
        <v>6.7544766253440001</v>
      </c>
      <c r="G47" s="258">
        <v>0</v>
      </c>
      <c r="H47" s="258">
        <v>7.0412419999999996</v>
      </c>
      <c r="I47" s="258">
        <v>0</v>
      </c>
      <c r="J47" s="258">
        <v>0</v>
      </c>
      <c r="K47" s="258">
        <v>94.503172119872048</v>
      </c>
      <c r="L47" s="258">
        <v>0</v>
      </c>
      <c r="M47" s="259">
        <v>0</v>
      </c>
    </row>
    <row r="48" spans="2:13" x14ac:dyDescent="0.2">
      <c r="B48" s="215"/>
      <c r="C48" s="257" t="s">
        <v>678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9">
        <v>0</v>
      </c>
    </row>
    <row r="49" spans="2:13" x14ac:dyDescent="0.2">
      <c r="B49" s="215"/>
      <c r="C49" s="257" t="s">
        <v>679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9">
        <v>0</v>
      </c>
    </row>
    <row r="50" spans="2:13" x14ac:dyDescent="0.2">
      <c r="B50" s="215"/>
      <c r="C50" s="257" t="s">
        <v>680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9">
        <v>0</v>
      </c>
    </row>
    <row r="51" spans="2:13" x14ac:dyDescent="0.2">
      <c r="B51" s="215"/>
      <c r="C51" s="257" t="s">
        <v>681</v>
      </c>
      <c r="D51" s="258">
        <v>9.2051517857142801E-2</v>
      </c>
      <c r="E51" s="258">
        <v>0</v>
      </c>
      <c r="F51" s="258">
        <v>9.0000000000000038E-2</v>
      </c>
      <c r="G51" s="258">
        <v>0</v>
      </c>
      <c r="H51" s="258">
        <v>9.2051517857142801E-2</v>
      </c>
      <c r="I51" s="258">
        <v>0</v>
      </c>
      <c r="J51" s="258">
        <v>0</v>
      </c>
      <c r="K51" s="258">
        <v>1.0970515178571434</v>
      </c>
      <c r="L51" s="258">
        <v>0</v>
      </c>
      <c r="M51" s="259">
        <v>0</v>
      </c>
    </row>
    <row r="52" spans="2:13" x14ac:dyDescent="0.2">
      <c r="B52" s="260" t="s">
        <v>561</v>
      </c>
      <c r="C52" s="220"/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4">
        <v>0</v>
      </c>
    </row>
    <row r="53" spans="2:13" x14ac:dyDescent="0.2">
      <c r="B53" s="215"/>
      <c r="C53" s="261" t="s">
        <v>682</v>
      </c>
      <c r="D53" s="262">
        <v>0</v>
      </c>
      <c r="E53" s="262">
        <v>0</v>
      </c>
      <c r="F53" s="262">
        <v>0</v>
      </c>
      <c r="G53" s="262">
        <v>0</v>
      </c>
      <c r="H53" s="262">
        <v>0</v>
      </c>
      <c r="I53" s="262">
        <v>0</v>
      </c>
      <c r="J53" s="262">
        <v>0</v>
      </c>
      <c r="K53" s="262">
        <v>0</v>
      </c>
      <c r="L53" s="262">
        <v>0</v>
      </c>
      <c r="M53" s="263">
        <v>0</v>
      </c>
    </row>
    <row r="54" spans="2:13" ht="25.5" x14ac:dyDescent="0.2">
      <c r="B54" s="215"/>
      <c r="C54" s="261" t="s">
        <v>683</v>
      </c>
      <c r="D54" s="262">
        <v>0</v>
      </c>
      <c r="E54" s="262">
        <v>0</v>
      </c>
      <c r="F54" s="262">
        <v>0</v>
      </c>
      <c r="G54" s="262">
        <v>0</v>
      </c>
      <c r="H54" s="262">
        <v>0</v>
      </c>
      <c r="I54" s="262">
        <v>0</v>
      </c>
      <c r="J54" s="262">
        <v>0</v>
      </c>
      <c r="K54" s="262">
        <v>0</v>
      </c>
      <c r="L54" s="262">
        <v>0</v>
      </c>
      <c r="M54" s="263">
        <v>0</v>
      </c>
    </row>
    <row r="55" spans="2:13" ht="25.5" x14ac:dyDescent="0.2">
      <c r="B55" s="215"/>
      <c r="C55" s="261" t="s">
        <v>684</v>
      </c>
      <c r="D55" s="262">
        <v>0</v>
      </c>
      <c r="E55" s="262">
        <v>0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L55" s="262">
        <v>0</v>
      </c>
      <c r="M55" s="263">
        <v>0</v>
      </c>
    </row>
    <row r="56" spans="2:13" ht="25.5" x14ac:dyDescent="0.2">
      <c r="B56" s="215"/>
      <c r="C56" s="261" t="s">
        <v>685</v>
      </c>
      <c r="D56" s="262">
        <v>0</v>
      </c>
      <c r="E56" s="262">
        <v>0</v>
      </c>
      <c r="F56" s="262">
        <v>0</v>
      </c>
      <c r="G56" s="262">
        <v>0</v>
      </c>
      <c r="H56" s="262">
        <v>0</v>
      </c>
      <c r="I56" s="262">
        <v>0</v>
      </c>
      <c r="J56" s="262">
        <v>0</v>
      </c>
      <c r="K56" s="262">
        <v>0</v>
      </c>
      <c r="L56" s="262">
        <v>0</v>
      </c>
      <c r="M56" s="263">
        <v>0</v>
      </c>
    </row>
    <row r="57" spans="2:13" ht="25.5" x14ac:dyDescent="0.2">
      <c r="B57" s="215"/>
      <c r="C57" s="261" t="s">
        <v>686</v>
      </c>
      <c r="D57" s="262">
        <v>0</v>
      </c>
      <c r="E57" s="262">
        <v>0</v>
      </c>
      <c r="F57" s="262">
        <v>0</v>
      </c>
      <c r="G57" s="262">
        <v>0</v>
      </c>
      <c r="H57" s="262">
        <v>0</v>
      </c>
      <c r="I57" s="262">
        <v>0</v>
      </c>
      <c r="J57" s="262">
        <v>0</v>
      </c>
      <c r="K57" s="262">
        <v>0</v>
      </c>
      <c r="L57" s="262">
        <v>0</v>
      </c>
      <c r="M57" s="263">
        <v>0</v>
      </c>
    </row>
    <row r="58" spans="2:13" x14ac:dyDescent="0.2">
      <c r="B58" s="264" t="s">
        <v>687</v>
      </c>
      <c r="C58" s="265"/>
      <c r="D58" s="266">
        <v>1.0130155377065702</v>
      </c>
      <c r="E58" s="266">
        <v>0</v>
      </c>
      <c r="F58" s="266">
        <v>0.42726413534795127</v>
      </c>
      <c r="G58" s="266">
        <v>0</v>
      </c>
      <c r="H58" s="266">
        <v>1.0130155377065702</v>
      </c>
      <c r="I58" s="266">
        <v>0</v>
      </c>
      <c r="J58" s="266">
        <v>0</v>
      </c>
      <c r="K58" s="266">
        <v>16.242335522295392</v>
      </c>
      <c r="L58" s="266">
        <v>0</v>
      </c>
      <c r="M58" s="267">
        <v>0</v>
      </c>
    </row>
    <row r="59" spans="2:13" x14ac:dyDescent="0.2">
      <c r="B59" s="268" t="s">
        <v>688</v>
      </c>
      <c r="C59" s="220"/>
      <c r="D59" s="212">
        <v>-0.1001302064488242</v>
      </c>
      <c r="E59" s="212">
        <v>0</v>
      </c>
      <c r="F59" s="212">
        <v>0.13727840774225297</v>
      </c>
      <c r="G59" s="212">
        <v>0</v>
      </c>
      <c r="H59" s="212">
        <v>-0.1001302064488242</v>
      </c>
      <c r="I59" s="212">
        <v>0</v>
      </c>
      <c r="J59" s="212">
        <v>0</v>
      </c>
      <c r="K59" s="212">
        <v>4.7929947378647366</v>
      </c>
      <c r="L59" s="212">
        <v>0</v>
      </c>
      <c r="M59" s="214">
        <v>0</v>
      </c>
    </row>
    <row r="60" spans="2:13" x14ac:dyDescent="0.2">
      <c r="B60" s="215"/>
      <c r="C60" s="269" t="s">
        <v>689</v>
      </c>
      <c r="D60" s="270">
        <v>-0.78304608000000009</v>
      </c>
      <c r="E60" s="270">
        <v>0</v>
      </c>
      <c r="F60" s="270">
        <v>0</v>
      </c>
      <c r="G60" s="270">
        <v>0</v>
      </c>
      <c r="H60" s="270">
        <v>-0.78304608000000009</v>
      </c>
      <c r="I60" s="270">
        <v>0</v>
      </c>
      <c r="J60" s="270">
        <v>0</v>
      </c>
      <c r="K60" s="270">
        <v>-0.78304608000000009</v>
      </c>
      <c r="L60" s="270">
        <v>0</v>
      </c>
      <c r="M60" s="271">
        <v>0</v>
      </c>
    </row>
    <row r="61" spans="2:13" x14ac:dyDescent="0.2">
      <c r="B61" s="215"/>
      <c r="C61" s="269" t="s">
        <v>690</v>
      </c>
      <c r="D61" s="270">
        <v>0.19526438718508998</v>
      </c>
      <c r="E61" s="270">
        <v>0</v>
      </c>
      <c r="F61" s="270">
        <v>0.16607299721461347</v>
      </c>
      <c r="G61" s="270">
        <v>0</v>
      </c>
      <c r="H61" s="270">
        <v>0.19526438718508998</v>
      </c>
      <c r="I61" s="270">
        <v>0</v>
      </c>
      <c r="J61" s="270">
        <v>0</v>
      </c>
      <c r="K61" s="270">
        <v>6.1147380947580166</v>
      </c>
      <c r="L61" s="270">
        <v>0</v>
      </c>
      <c r="M61" s="271">
        <v>0</v>
      </c>
    </row>
    <row r="62" spans="2:13" x14ac:dyDescent="0.2">
      <c r="B62" s="215"/>
      <c r="C62" s="269" t="s">
        <v>691</v>
      </c>
      <c r="D62" s="270">
        <v>0</v>
      </c>
      <c r="E62" s="270">
        <v>0</v>
      </c>
      <c r="F62" s="270">
        <v>-0.1002313389034819</v>
      </c>
      <c r="G62" s="270">
        <v>0</v>
      </c>
      <c r="H62" s="270">
        <v>0</v>
      </c>
      <c r="I62" s="270">
        <v>0</v>
      </c>
      <c r="J62" s="270">
        <v>0</v>
      </c>
      <c r="K62" s="270">
        <v>-3.5726264068520366</v>
      </c>
      <c r="L62" s="270">
        <v>0</v>
      </c>
      <c r="M62" s="271">
        <v>0</v>
      </c>
    </row>
    <row r="63" spans="2:13" x14ac:dyDescent="0.2">
      <c r="B63" s="215"/>
      <c r="C63" s="269" t="s">
        <v>692</v>
      </c>
      <c r="D63" s="270">
        <v>-1.0130166999999999E-2</v>
      </c>
      <c r="E63" s="270">
        <v>0</v>
      </c>
      <c r="F63" s="270">
        <v>3.5622900948025367E-4</v>
      </c>
      <c r="G63" s="270">
        <v>0</v>
      </c>
      <c r="H63" s="270">
        <v>-1.0130166999999999E-2</v>
      </c>
      <c r="I63" s="270">
        <v>0</v>
      </c>
      <c r="J63" s="270">
        <v>0</v>
      </c>
      <c r="K63" s="270">
        <v>2.5671907334073492E-3</v>
      </c>
      <c r="L63" s="270">
        <v>0</v>
      </c>
      <c r="M63" s="271">
        <v>0</v>
      </c>
    </row>
    <row r="64" spans="2:13" x14ac:dyDescent="0.2">
      <c r="B64" s="215"/>
      <c r="C64" s="269" t="s">
        <v>693</v>
      </c>
      <c r="D64" s="270">
        <v>0.49778165336608593</v>
      </c>
      <c r="E64" s="270">
        <v>0</v>
      </c>
      <c r="F64" s="270">
        <v>0</v>
      </c>
      <c r="G64" s="270">
        <v>0</v>
      </c>
      <c r="H64" s="270">
        <v>0.49778165336608593</v>
      </c>
      <c r="I64" s="270">
        <v>0</v>
      </c>
      <c r="J64" s="270">
        <v>0</v>
      </c>
      <c r="K64" s="270">
        <v>0.49778165336608593</v>
      </c>
      <c r="L64" s="270">
        <v>0</v>
      </c>
      <c r="M64" s="271">
        <v>0</v>
      </c>
    </row>
    <row r="65" spans="2:13" x14ac:dyDescent="0.2">
      <c r="B65" s="215"/>
      <c r="C65" s="269" t="s">
        <v>694</v>
      </c>
      <c r="D65" s="270">
        <v>0</v>
      </c>
      <c r="E65" s="270">
        <v>0</v>
      </c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0">
        <v>0</v>
      </c>
      <c r="L65" s="270">
        <v>0</v>
      </c>
      <c r="M65" s="271">
        <v>0</v>
      </c>
    </row>
    <row r="66" spans="2:13" x14ac:dyDescent="0.2">
      <c r="B66" s="215"/>
      <c r="C66" s="269" t="s">
        <v>695</v>
      </c>
      <c r="D66" s="270">
        <v>0</v>
      </c>
      <c r="E66" s="270">
        <v>0</v>
      </c>
      <c r="F66" s="270">
        <v>0</v>
      </c>
      <c r="G66" s="270">
        <v>0</v>
      </c>
      <c r="H66" s="270">
        <v>0</v>
      </c>
      <c r="I66" s="270">
        <v>0</v>
      </c>
      <c r="J66" s="270">
        <v>0</v>
      </c>
      <c r="K66" s="270">
        <v>0</v>
      </c>
      <c r="L66" s="270">
        <v>0</v>
      </c>
      <c r="M66" s="271">
        <v>0</v>
      </c>
    </row>
    <row r="67" spans="2:13" x14ac:dyDescent="0.2">
      <c r="B67" s="215"/>
      <c r="C67" s="269" t="s">
        <v>696</v>
      </c>
      <c r="D67" s="270">
        <v>0</v>
      </c>
      <c r="E67" s="270">
        <v>0</v>
      </c>
      <c r="F67" s="270">
        <v>3.6420956155124701E-4</v>
      </c>
      <c r="G67" s="270">
        <v>0</v>
      </c>
      <c r="H67" s="270">
        <v>0</v>
      </c>
      <c r="I67" s="270">
        <v>0</v>
      </c>
      <c r="J67" s="270">
        <v>0</v>
      </c>
      <c r="K67" s="270">
        <v>1.2981814983824247E-2</v>
      </c>
      <c r="L67" s="270">
        <v>0</v>
      </c>
      <c r="M67" s="271">
        <v>0</v>
      </c>
    </row>
    <row r="68" spans="2:13" x14ac:dyDescent="0.2">
      <c r="B68" s="215"/>
      <c r="C68" s="269" t="s">
        <v>697</v>
      </c>
      <c r="D68" s="270">
        <v>0</v>
      </c>
      <c r="E68" s="270">
        <v>0</v>
      </c>
      <c r="F68" s="270">
        <v>-4.8447297715897798E-3</v>
      </c>
      <c r="G68" s="270">
        <v>0</v>
      </c>
      <c r="H68" s="270">
        <v>0</v>
      </c>
      <c r="I68" s="270">
        <v>0</v>
      </c>
      <c r="J68" s="270">
        <v>0</v>
      </c>
      <c r="K68" s="270">
        <v>-0.17268460848069758</v>
      </c>
      <c r="L68" s="270">
        <v>0</v>
      </c>
      <c r="M68" s="271">
        <v>0</v>
      </c>
    </row>
    <row r="69" spans="2:13" x14ac:dyDescent="0.2">
      <c r="B69" s="215"/>
      <c r="C69" s="269" t="s">
        <v>698</v>
      </c>
      <c r="D69" s="270">
        <v>0</v>
      </c>
      <c r="E69" s="270">
        <v>0</v>
      </c>
      <c r="F69" s="270">
        <v>6.2433399193120081E-3</v>
      </c>
      <c r="G69" s="270">
        <v>0</v>
      </c>
      <c r="H69" s="270">
        <v>0</v>
      </c>
      <c r="I69" s="270">
        <v>0</v>
      </c>
      <c r="J69" s="270">
        <v>0</v>
      </c>
      <c r="K69" s="270">
        <v>0.22253639736536215</v>
      </c>
      <c r="L69" s="270">
        <v>0</v>
      </c>
      <c r="M69" s="271">
        <v>0</v>
      </c>
    </row>
    <row r="70" spans="2:13" x14ac:dyDescent="0.2">
      <c r="B70" s="215"/>
      <c r="C70" s="269" t="s">
        <v>699</v>
      </c>
      <c r="D70" s="270">
        <v>0</v>
      </c>
      <c r="E70" s="270">
        <v>0</v>
      </c>
      <c r="F70" s="270">
        <v>6.9317700712367675E-2</v>
      </c>
      <c r="G70" s="270">
        <v>0</v>
      </c>
      <c r="H70" s="270">
        <v>0</v>
      </c>
      <c r="I70" s="270">
        <v>0</v>
      </c>
      <c r="J70" s="270">
        <v>0</v>
      </c>
      <c r="K70" s="270">
        <v>2.4707466819907746</v>
      </c>
      <c r="L70" s="270">
        <v>0</v>
      </c>
      <c r="M70" s="271">
        <v>0</v>
      </c>
    </row>
    <row r="71" spans="2:13" x14ac:dyDescent="0.2">
      <c r="B71" s="272" t="s">
        <v>700</v>
      </c>
      <c r="C71" s="273"/>
      <c r="D71" s="274">
        <v>-6.0382620528068753E-2</v>
      </c>
      <c r="E71" s="274">
        <v>0</v>
      </c>
      <c r="F71" s="274">
        <v>0</v>
      </c>
      <c r="G71" s="274">
        <v>0</v>
      </c>
      <c r="H71" s="274">
        <v>-6.0382620528068753E-2</v>
      </c>
      <c r="I71" s="274">
        <v>0</v>
      </c>
      <c r="J71" s="274">
        <v>0</v>
      </c>
      <c r="K71" s="274">
        <v>-6.0382620528068753E-2</v>
      </c>
      <c r="L71" s="274">
        <v>0</v>
      </c>
      <c r="M71" s="275">
        <v>0</v>
      </c>
    </row>
    <row r="72" spans="2:13" x14ac:dyDescent="0.2">
      <c r="B72" s="276" t="s">
        <v>701</v>
      </c>
      <c r="C72" s="277"/>
      <c r="D72" s="278">
        <v>5.7873516814129875</v>
      </c>
      <c r="E72" s="278">
        <v>0</v>
      </c>
      <c r="F72" s="278">
        <v>0</v>
      </c>
      <c r="G72" s="278">
        <v>0</v>
      </c>
      <c r="H72" s="278">
        <v>5.7873516814129875</v>
      </c>
      <c r="I72" s="278">
        <v>0</v>
      </c>
      <c r="J72" s="278">
        <v>0</v>
      </c>
      <c r="K72" s="278">
        <v>5.7873516814129875</v>
      </c>
      <c r="L72" s="278">
        <v>0</v>
      </c>
      <c r="M72" s="279">
        <v>0</v>
      </c>
    </row>
    <row r="73" spans="2:13" ht="13.5" thickBot="1" x14ac:dyDescent="0.25">
      <c r="B73" s="280" t="s">
        <v>702</v>
      </c>
      <c r="C73" s="281"/>
      <c r="D73" s="282">
        <v>52.498411531620874</v>
      </c>
      <c r="E73" s="282">
        <v>0</v>
      </c>
      <c r="F73" s="282">
        <v>41.28588399677529</v>
      </c>
      <c r="G73" s="282">
        <v>0</v>
      </c>
      <c r="H73" s="282">
        <v>52.498411531620874</v>
      </c>
      <c r="I73" s="282">
        <v>0</v>
      </c>
      <c r="J73" s="282">
        <v>0</v>
      </c>
      <c r="K73" s="282">
        <v>861.00759052235242</v>
      </c>
      <c r="L73" s="282">
        <v>0</v>
      </c>
      <c r="M73" s="283">
        <v>0</v>
      </c>
    </row>
    <row r="74" spans="2:13" x14ac:dyDescent="0.2">
      <c r="B74" s="284" t="s">
        <v>703</v>
      </c>
      <c r="C74" s="285"/>
      <c r="D74" s="286">
        <v>0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6">
        <v>0</v>
      </c>
      <c r="K74" s="286">
        <v>0</v>
      </c>
      <c r="L74" s="286">
        <v>0</v>
      </c>
      <c r="M74" s="287">
        <v>0</v>
      </c>
    </row>
    <row r="75" spans="2:13" x14ac:dyDescent="0.2">
      <c r="B75" s="260" t="s">
        <v>639</v>
      </c>
      <c r="C75" s="288"/>
      <c r="D75" s="289">
        <v>3.6986301369863024</v>
      </c>
      <c r="E75" s="289">
        <v>0</v>
      </c>
      <c r="F75" s="289">
        <v>0</v>
      </c>
      <c r="G75" s="289">
        <v>0</v>
      </c>
      <c r="H75" s="289">
        <v>3.6986301369863024</v>
      </c>
      <c r="I75" s="289">
        <v>0</v>
      </c>
      <c r="J75" s="289">
        <v>0</v>
      </c>
      <c r="K75" s="289">
        <v>44.999999999999638</v>
      </c>
      <c r="L75" s="289">
        <v>0</v>
      </c>
      <c r="M75" s="290">
        <v>0</v>
      </c>
    </row>
    <row r="76" spans="2:13" ht="13.5" thickBot="1" x14ac:dyDescent="0.25">
      <c r="B76" s="280" t="s">
        <v>630</v>
      </c>
      <c r="C76" s="281"/>
      <c r="D76" s="282">
        <v>56.197041668607177</v>
      </c>
      <c r="E76" s="282"/>
      <c r="F76" s="282"/>
      <c r="G76" s="282"/>
      <c r="H76" s="282">
        <v>56.197041668607177</v>
      </c>
      <c r="I76" s="282"/>
      <c r="J76" s="282"/>
      <c r="K76" s="282">
        <v>906.00759052235207</v>
      </c>
      <c r="L76" s="282"/>
      <c r="M76" s="283"/>
    </row>
  </sheetData>
  <mergeCells count="9">
    <mergeCell ref="K26:K29"/>
    <mergeCell ref="L26:L29"/>
    <mergeCell ref="M26:M29"/>
    <mergeCell ref="B3:C3"/>
    <mergeCell ref="E26:E29"/>
    <mergeCell ref="F26:F29"/>
    <mergeCell ref="G26:G29"/>
    <mergeCell ref="I26:I29"/>
    <mergeCell ref="J26:J29"/>
  </mergeCells>
  <conditionalFormatting sqref="C26:C29 B25 B28">
    <cfRule type="cellIs" dxfId="1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Auto Summary</vt:lpstr>
      <vt:lpstr>5b. Historic flexible STOR data</vt:lpstr>
      <vt:lpstr>Table 10.2</vt:lpstr>
      <vt:lpstr>Table 10.4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Jon.McDonald</cp:lastModifiedBy>
  <dcterms:created xsi:type="dcterms:W3CDTF">2014-10-13T14:16:41Z</dcterms:created>
  <dcterms:modified xsi:type="dcterms:W3CDTF">2017-06-01T09:08:29Z</dcterms:modified>
</cp:coreProperties>
</file>