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500\suleymc$\My Documents\Code Governance\CUSC\CMP243\"/>
    </mc:Choice>
  </mc:AlternateContent>
  <bookViews>
    <workbookView xWindow="240" yWindow="75" windowWidth="20115" windowHeight="7995" activeTab="1"/>
  </bookViews>
  <sheets>
    <sheet name="Data" sheetId="1" r:id="rId1"/>
    <sheet name="Results MAN" sheetId="4" r:id="rId2"/>
    <sheet name="Results ALL" sheetId="5" r:id="rId3"/>
  </sheets>
  <calcPr calcId="152511"/>
</workbook>
</file>

<file path=xl/calcChain.xml><?xml version="1.0" encoding="utf-8"?>
<calcChain xmlns="http://schemas.openxmlformats.org/spreadsheetml/2006/main">
  <c r="I36" i="5" l="1"/>
  <c r="I29" i="5"/>
  <c r="I11" i="5"/>
  <c r="I35" i="5"/>
  <c r="I28" i="5"/>
  <c r="I10" i="5"/>
  <c r="I34" i="5"/>
  <c r="I27" i="5"/>
  <c r="H35" i="5"/>
  <c r="H36" i="5"/>
  <c r="H28" i="5"/>
  <c r="H29" i="5"/>
  <c r="H34" i="5"/>
  <c r="H27" i="5"/>
  <c r="H11" i="5"/>
  <c r="H10" i="5"/>
  <c r="I9" i="5"/>
  <c r="H9" i="5"/>
  <c r="G35" i="5"/>
  <c r="G36" i="5"/>
  <c r="G28" i="5"/>
  <c r="G29" i="5"/>
  <c r="G10" i="5"/>
  <c r="G11" i="5"/>
  <c r="I11" i="4"/>
  <c r="I36" i="4"/>
  <c r="I29" i="4"/>
  <c r="I35" i="4"/>
  <c r="I28" i="4"/>
  <c r="I10" i="4"/>
  <c r="H36" i="4"/>
  <c r="H29" i="4"/>
  <c r="H11" i="4"/>
  <c r="H35" i="4"/>
  <c r="H28" i="4"/>
  <c r="H10" i="4"/>
  <c r="G9" i="5" l="1"/>
  <c r="F9" i="5"/>
  <c r="F5" i="4"/>
  <c r="G36" i="4" s="1"/>
  <c r="F4" i="4"/>
  <c r="F3" i="4"/>
  <c r="F9" i="4"/>
  <c r="G9" i="4" s="1"/>
  <c r="H9" i="4" s="1"/>
  <c r="I9" i="4" s="1"/>
  <c r="F36" i="4"/>
  <c r="F35" i="4"/>
  <c r="G35" i="4" s="1"/>
  <c r="F34" i="4"/>
  <c r="F29" i="4"/>
  <c r="G29" i="4" s="1"/>
  <c r="F28" i="4"/>
  <c r="G28" i="4" s="1"/>
  <c r="F27" i="4"/>
  <c r="G27" i="4" s="1"/>
  <c r="H27" i="4" s="1"/>
  <c r="I27" i="4" s="1"/>
  <c r="F11" i="4"/>
  <c r="F10" i="4"/>
  <c r="G10" i="4" s="1"/>
  <c r="G34" i="5"/>
  <c r="G27" i="5"/>
  <c r="G11" i="4" l="1"/>
  <c r="G34" i="4"/>
  <c r="H34" i="4" s="1"/>
  <c r="I34" i="4" s="1"/>
  <c r="F10" i="5"/>
  <c r="F11" i="5"/>
  <c r="F27" i="5"/>
  <c r="F28" i="5"/>
  <c r="F29" i="5"/>
  <c r="F34" i="5"/>
  <c r="F35" i="5"/>
  <c r="F36" i="5"/>
  <c r="F4" i="5"/>
  <c r="F5" i="5"/>
  <c r="F3" i="5"/>
  <c r="T8" i="5" l="1"/>
  <c r="S8" i="5"/>
  <c r="Q8" i="5"/>
  <c r="P8" i="5"/>
  <c r="N8" i="5"/>
  <c r="M8" i="5"/>
  <c r="T7" i="5"/>
  <c r="S7" i="5"/>
  <c r="Q7" i="5"/>
  <c r="P7" i="5"/>
  <c r="N7" i="5"/>
  <c r="M7" i="5"/>
  <c r="T6" i="5"/>
  <c r="S6" i="5"/>
  <c r="Q6" i="5"/>
  <c r="P6" i="5"/>
  <c r="N6" i="5"/>
  <c r="M6" i="5"/>
  <c r="O6" i="5" s="1"/>
  <c r="V6" i="5" s="1"/>
  <c r="T5" i="5"/>
  <c r="S5" i="5"/>
  <c r="Q5" i="5"/>
  <c r="P5" i="5"/>
  <c r="R5" i="5" s="1"/>
  <c r="W5" i="5" s="1"/>
  <c r="O5" i="5"/>
  <c r="V5" i="5" s="1"/>
  <c r="N5" i="5"/>
  <c r="M5" i="5"/>
  <c r="T4" i="5"/>
  <c r="S4" i="5"/>
  <c r="U4" i="5" s="1"/>
  <c r="X4" i="5" s="1"/>
  <c r="Q4" i="5"/>
  <c r="P4" i="5"/>
  <c r="N4" i="5"/>
  <c r="M4" i="5"/>
  <c r="O4" i="5" s="1"/>
  <c r="X3" i="5"/>
  <c r="W3" i="5"/>
  <c r="V3" i="5"/>
  <c r="T7" i="4"/>
  <c r="S7" i="4"/>
  <c r="Q7" i="4"/>
  <c r="P7" i="4"/>
  <c r="R7" i="4" s="1"/>
  <c r="N7" i="4"/>
  <c r="M7" i="4"/>
  <c r="N8" i="4"/>
  <c r="T8" i="4"/>
  <c r="S8" i="4"/>
  <c r="U8" i="4" s="1"/>
  <c r="P8" i="4"/>
  <c r="M8" i="4"/>
  <c r="O8" i="4" s="1"/>
  <c r="M6" i="4"/>
  <c r="O7" i="4" l="1"/>
  <c r="U7" i="4"/>
  <c r="V4" i="5"/>
  <c r="U6" i="5"/>
  <c r="X6" i="5" s="1"/>
  <c r="X11" i="5" s="1"/>
  <c r="U8" i="5"/>
  <c r="X8" i="5" s="1"/>
  <c r="R4" i="5"/>
  <c r="W4" i="5" s="1"/>
  <c r="R6" i="5"/>
  <c r="W6" i="5" s="1"/>
  <c r="O7" i="5"/>
  <c r="V7" i="5" s="1"/>
  <c r="V12" i="5" s="1"/>
  <c r="U7" i="5"/>
  <c r="X7" i="5" s="1"/>
  <c r="R8" i="5"/>
  <c r="W8" i="5" s="1"/>
  <c r="O8" i="5"/>
  <c r="V8" i="5" s="1"/>
  <c r="V11" i="5"/>
  <c r="V10" i="5"/>
  <c r="U5" i="5"/>
  <c r="X5" i="5" s="1"/>
  <c r="X10" i="5" s="1"/>
  <c r="R7" i="5"/>
  <c r="W7" i="5" s="1"/>
  <c r="W12" i="5" s="1"/>
  <c r="W13" i="5"/>
  <c r="W11" i="5"/>
  <c r="X13" i="5"/>
  <c r="W10" i="5"/>
  <c r="X12" i="5"/>
  <c r="V13" i="5"/>
  <c r="T4" i="4"/>
  <c r="S4" i="4"/>
  <c r="P6" i="4"/>
  <c r="P5" i="4"/>
  <c r="P4" i="4"/>
  <c r="Q4" i="4"/>
  <c r="R4" i="4" l="1"/>
  <c r="W4" i="4" s="1"/>
  <c r="U4" i="4"/>
  <c r="X4" i="4" s="1"/>
  <c r="C33" i="1"/>
  <c r="D33" i="1"/>
  <c r="F33" i="1"/>
  <c r="H33" i="1"/>
  <c r="C34" i="1"/>
  <c r="D34" i="1"/>
  <c r="F34" i="1"/>
  <c r="H34" i="1"/>
  <c r="H32" i="1"/>
  <c r="H31" i="1"/>
  <c r="G31" i="1"/>
  <c r="F32" i="1"/>
  <c r="E31" i="1"/>
  <c r="D31" i="1"/>
  <c r="D32" i="1"/>
  <c r="C32" i="1"/>
  <c r="B30" i="1"/>
  <c r="G30" i="1"/>
  <c r="F30" i="1"/>
  <c r="D30" i="1"/>
  <c r="C30" i="1"/>
  <c r="B33" i="1"/>
  <c r="B34" i="1"/>
  <c r="B32" i="1"/>
  <c r="X7" i="4" l="1"/>
  <c r="X12" i="4" s="1"/>
  <c r="X3" i="4"/>
  <c r="W3" i="4"/>
  <c r="V3" i="4"/>
  <c r="W7" i="4"/>
  <c r="W12" i="4" s="1"/>
  <c r="V7" i="4"/>
  <c r="T5" i="4"/>
  <c r="T6" i="4"/>
  <c r="S6" i="4"/>
  <c r="U6" i="4" s="1"/>
  <c r="S5" i="4"/>
  <c r="Q5" i="4"/>
  <c r="Q6" i="4"/>
  <c r="R6" i="4" s="1"/>
  <c r="W6" i="4" s="1"/>
  <c r="W11" i="4" s="1"/>
  <c r="Q8" i="4"/>
  <c r="N4" i="4"/>
  <c r="N5" i="4"/>
  <c r="N6" i="4"/>
  <c r="O6" i="4" s="1"/>
  <c r="M5" i="4"/>
  <c r="M4" i="4"/>
  <c r="O4" i="4" s="1"/>
  <c r="V4" i="4" s="1"/>
  <c r="U5" i="4" l="1"/>
  <c r="X5" i="4" s="1"/>
  <c r="X10" i="4" s="1"/>
  <c r="V12" i="4"/>
  <c r="O5" i="4"/>
  <c r="V5" i="4" s="1"/>
  <c r="V10" i="4" s="1"/>
  <c r="R8" i="4"/>
  <c r="W8" i="4" s="1"/>
  <c r="W13" i="4" s="1"/>
  <c r="X6" i="4"/>
  <c r="X11" i="4" s="1"/>
  <c r="R5" i="4"/>
  <c r="W5" i="4" s="1"/>
  <c r="W10" i="4" s="1"/>
  <c r="X8" i="4"/>
  <c r="X13" i="4" s="1"/>
  <c r="V8" i="4"/>
  <c r="V13" i="4" s="1"/>
  <c r="V6" i="4"/>
  <c r="V11" i="4" s="1"/>
  <c r="D15" i="1"/>
  <c r="E34" i="1" s="1"/>
  <c r="H13" i="1"/>
  <c r="G14" i="1"/>
  <c r="H15" i="1"/>
  <c r="F14" i="1"/>
  <c r="D14" i="1" s="1"/>
  <c r="E33" i="1" s="1"/>
  <c r="F15" i="1"/>
  <c r="H14" i="1"/>
  <c r="G15" i="1"/>
  <c r="G13" i="1"/>
  <c r="F13" i="1"/>
  <c r="D13" i="1" s="1"/>
  <c r="E32" i="1" s="1"/>
  <c r="C28" i="1" l="1"/>
  <c r="G34" i="1" s="1"/>
  <c r="C27" i="1"/>
  <c r="G33" i="1" s="1"/>
  <c r="C26" i="1"/>
  <c r="G32" i="1" s="1"/>
</calcChain>
</file>

<file path=xl/sharedStrings.xml><?xml version="1.0" encoding="utf-8"?>
<sst xmlns="http://schemas.openxmlformats.org/spreadsheetml/2006/main" count="93" uniqueCount="43">
  <si>
    <t>Baseload</t>
  </si>
  <si>
    <t>Data Source: ICE</t>
  </si>
  <si>
    <t>Scenario 1</t>
  </si>
  <si>
    <t>£/MWh</t>
  </si>
  <si>
    <t>Scenario 2</t>
  </si>
  <si>
    <t>Peak + Offpeak</t>
  </si>
  <si>
    <t>7am-7pm weekdays</t>
  </si>
  <si>
    <t>Scenario 3</t>
  </si>
  <si>
    <t>Scenario 4</t>
  </si>
  <si>
    <t>Existing MIP w/ cap &amp; collar</t>
  </si>
  <si>
    <t>Cap</t>
  </si>
  <si>
    <t>Collar</t>
  </si>
  <si>
    <t>Baseload Value</t>
  </si>
  <si>
    <t>Peak Value</t>
  </si>
  <si>
    <t>Remaining times</t>
  </si>
  <si>
    <t>Offpeak Hours</t>
  </si>
  <si>
    <t>Calcs</t>
  </si>
  <si>
    <t>Baseload value = 24 hours*days in the month*Baseload price [£/MWh] = x</t>
  </si>
  <si>
    <t>Peak value = 12 hours*week days in the month*Peak price [£/MWh] = y</t>
  </si>
  <si>
    <t>Off Peak hours = (weekdays in the month*12 hours)+(weekend days in the month*24 hours) = h</t>
  </si>
  <si>
    <t>Off Peak price (£/MWh) = (x-y)/h</t>
  </si>
  <si>
    <t>Peak</t>
  </si>
  <si>
    <t>Scenario 4 CAP/Collar</t>
  </si>
  <si>
    <t>Scenario 2 Peak/off peak totals</t>
  </si>
  <si>
    <t>Scenario 2 Off peak</t>
  </si>
  <si>
    <t>Scenario 2 Peak</t>
  </si>
  <si>
    <t>Scenario 1 Baseload</t>
  </si>
  <si>
    <t>Current Methodoogy</t>
  </si>
  <si>
    <t>Received from</t>
  </si>
  <si>
    <t>Paid to</t>
  </si>
  <si>
    <t>Paid to Gen</t>
  </si>
  <si>
    <t>Received from Gen</t>
  </si>
  <si>
    <t>Nov 14</t>
  </si>
  <si>
    <t>May 15</t>
  </si>
  <si>
    <t>Aug 15</t>
  </si>
  <si>
    <t xml:space="preserve">Current </t>
  </si>
  <si>
    <t>Cap/Collar</t>
  </si>
  <si>
    <t>Diff</t>
  </si>
  <si>
    <t>Scenario 3 Peak</t>
  </si>
  <si>
    <t>Net</t>
  </si>
  <si>
    <t>Total</t>
  </si>
  <si>
    <t>% decrease needed</t>
  </si>
  <si>
    <t>Decreased to (£m)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</si>
</sst>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_-&quot;£&quot;* #,##0_-;\-&quot;£&quot;* #,##0_-;_-&quot;£&quot;* &quot;-&quot;??_-;_-@_-"/>
    <numFmt numFmtId="166" formatCode="_-* #,##0.00000_-;\-* #,##0.000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2" fontId="0" fillId="0" borderId="0" xfId="0" applyNumberFormat="1"/>
    <xf numFmtId="0" fontId="0" fillId="2" borderId="0" xfId="0" applyFill="1" applyAlignment="1">
      <alignment horizontal="center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17" fontId="0" fillId="0" borderId="0" xfId="0" applyNumberFormat="1"/>
    <xf numFmtId="0" fontId="4" fillId="0" borderId="0" xfId="0" applyFont="1" applyAlignment="1">
      <alignment horizontal="center"/>
    </xf>
    <xf numFmtId="17" fontId="0" fillId="0" borderId="0" xfId="0" quotePrefix="1" applyNumberFormat="1"/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165" fontId="0" fillId="0" borderId="0" xfId="1" applyNumberFormat="1" applyFont="1"/>
    <xf numFmtId="4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0" fillId="0" borderId="0" xfId="0" applyNumberForma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Net REP position for November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MAN'!$M$3</c:f>
              <c:strCache>
                <c:ptCount val="1"/>
                <c:pt idx="0">
                  <c:v>Paid to Gen</c:v>
                </c:pt>
              </c:strCache>
            </c:strRef>
          </c:tx>
          <c:invertIfNegative val="0"/>
          <c:cat>
            <c:strRef>
              <c:f>'Results MAN'!$L$4:$L$8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MAN'!$M$4:$M$8</c:f>
              <c:numCache>
                <c:formatCode>#,##0</c:formatCode>
                <c:ptCount val="5"/>
                <c:pt idx="0">
                  <c:v>742961.71999999729</c:v>
                </c:pt>
                <c:pt idx="1">
                  <c:v>924366.23184999183</c:v>
                </c:pt>
                <c:pt idx="2">
                  <c:v>910616.4962124984</c:v>
                </c:pt>
                <c:pt idx="3">
                  <c:v>1082767.930537499</c:v>
                </c:pt>
                <c:pt idx="4">
                  <c:v>742819.50102500396</c:v>
                </c:pt>
              </c:numCache>
            </c:numRef>
          </c:val>
        </c:ser>
        <c:ser>
          <c:idx val="1"/>
          <c:order val="1"/>
          <c:tx>
            <c:strRef>
              <c:f>'Results MAN'!$N$3</c:f>
              <c:strCache>
                <c:ptCount val="1"/>
                <c:pt idx="0">
                  <c:v>Received from Gen</c:v>
                </c:pt>
              </c:strCache>
            </c:strRef>
          </c:tx>
          <c:invertIfNegative val="0"/>
          <c:cat>
            <c:strRef>
              <c:f>'Results MAN'!$L$4:$L$8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MAN'!$N$4:$N$8</c:f>
              <c:numCache>
                <c:formatCode>#,##0</c:formatCode>
                <c:ptCount val="5"/>
                <c:pt idx="0">
                  <c:v>-745854.79000000306</c:v>
                </c:pt>
                <c:pt idx="1">
                  <c:v>-764980.28246999858</c:v>
                </c:pt>
                <c:pt idx="2">
                  <c:v>-789667.56318750139</c:v>
                </c:pt>
                <c:pt idx="3">
                  <c:v>-896069.20808250376</c:v>
                </c:pt>
                <c:pt idx="4">
                  <c:v>-745885.98914750398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03482456"/>
        <c:axId val="303482848"/>
      </c:barChart>
      <c:catAx>
        <c:axId val="30348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3482848"/>
        <c:crosses val="autoZero"/>
        <c:auto val="1"/>
        <c:lblAlgn val="ctr"/>
        <c:lblOffset val="100"/>
        <c:noMultiLvlLbl val="0"/>
      </c:catAx>
      <c:valAx>
        <c:axId val="303482848"/>
        <c:scaling>
          <c:orientation val="minMax"/>
        </c:scaling>
        <c:delete val="0"/>
        <c:axPos val="l"/>
        <c:majorGridlines/>
        <c:numFmt formatCode="&quot;£&quot;#,##0" sourceLinked="0"/>
        <c:majorTickMark val="none"/>
        <c:minorTickMark val="none"/>
        <c:tickLblPos val="nextTo"/>
        <c:spPr>
          <a:ln w="9525">
            <a:noFill/>
          </a:ln>
        </c:spPr>
        <c:crossAx val="303482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Net REP position for May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MAN'!$P$3</c:f>
              <c:strCache>
                <c:ptCount val="1"/>
                <c:pt idx="0">
                  <c:v>Paid to Gen</c:v>
                </c:pt>
              </c:strCache>
            </c:strRef>
          </c:tx>
          <c:invertIfNegative val="0"/>
          <c:cat>
            <c:strRef>
              <c:f>'Results MAN'!$L$4:$L$8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MAN'!$P$4:$P$8</c:f>
              <c:numCache>
                <c:formatCode>#,##0</c:formatCode>
                <c:ptCount val="5"/>
                <c:pt idx="0">
                  <c:v>1013946.2499999937</c:v>
                </c:pt>
                <c:pt idx="1">
                  <c:v>1181696.9837999917</c:v>
                </c:pt>
                <c:pt idx="2">
                  <c:v>1209583.0001625</c:v>
                </c:pt>
                <c:pt idx="3">
                  <c:v>1270490.2262625035</c:v>
                </c:pt>
                <c:pt idx="4">
                  <c:v>1013624.9995299992</c:v>
                </c:pt>
              </c:numCache>
            </c:numRef>
          </c:val>
        </c:ser>
        <c:ser>
          <c:idx val="1"/>
          <c:order val="1"/>
          <c:tx>
            <c:strRef>
              <c:f>'Results MAN'!$Q$3</c:f>
              <c:strCache>
                <c:ptCount val="1"/>
                <c:pt idx="0">
                  <c:v>Received from Gen</c:v>
                </c:pt>
              </c:strCache>
            </c:strRef>
          </c:tx>
          <c:invertIfNegative val="0"/>
          <c:cat>
            <c:strRef>
              <c:f>'Results MAN'!$L$4:$L$8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MAN'!$Q$4:$Q$8</c:f>
              <c:numCache>
                <c:formatCode>#,##0</c:formatCode>
                <c:ptCount val="5"/>
                <c:pt idx="0">
                  <c:v>-683820.45000000135</c:v>
                </c:pt>
                <c:pt idx="1">
                  <c:v>-736714.84788000339</c:v>
                </c:pt>
                <c:pt idx="2">
                  <c:v>-754060.18898999831</c:v>
                </c:pt>
                <c:pt idx="3">
                  <c:v>-792071.9326574998</c:v>
                </c:pt>
                <c:pt idx="4">
                  <c:v>-682734.95447000605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104064"/>
        <c:axId val="248104456"/>
      </c:barChart>
      <c:catAx>
        <c:axId val="24810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8104456"/>
        <c:crosses val="autoZero"/>
        <c:auto val="1"/>
        <c:lblAlgn val="ctr"/>
        <c:lblOffset val="100"/>
        <c:noMultiLvlLbl val="0"/>
      </c:catAx>
      <c:valAx>
        <c:axId val="248104456"/>
        <c:scaling>
          <c:orientation val="minMax"/>
        </c:scaling>
        <c:delete val="0"/>
        <c:axPos val="l"/>
        <c:majorGridlines/>
        <c:numFmt formatCode="&quot;£&quot;#,##0" sourceLinked="0"/>
        <c:majorTickMark val="none"/>
        <c:minorTickMark val="none"/>
        <c:tickLblPos val="nextTo"/>
        <c:spPr>
          <a:ln w="9525">
            <a:noFill/>
          </a:ln>
        </c:spPr>
        <c:crossAx val="248104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Net REP position for August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MAN'!$S$3</c:f>
              <c:strCache>
                <c:ptCount val="1"/>
                <c:pt idx="0">
                  <c:v>Paid to Gen</c:v>
                </c:pt>
              </c:strCache>
            </c:strRef>
          </c:tx>
          <c:invertIfNegative val="0"/>
          <c:cat>
            <c:strRef>
              <c:f>'Results MAN'!$L$4:$L$8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MAN'!$S$4:$S$8</c:f>
              <c:numCache>
                <c:formatCode>#,##0</c:formatCode>
                <c:ptCount val="5"/>
                <c:pt idx="0">
                  <c:v>737164.97000000009</c:v>
                </c:pt>
                <c:pt idx="1">
                  <c:v>836899.99717500561</c:v>
                </c:pt>
                <c:pt idx="2">
                  <c:v>842597.47255000111</c:v>
                </c:pt>
                <c:pt idx="3">
                  <c:v>920529.5418000007</c:v>
                </c:pt>
                <c:pt idx="4">
                  <c:v>737194.09443999035</c:v>
                </c:pt>
              </c:numCache>
            </c:numRef>
          </c:val>
        </c:ser>
        <c:ser>
          <c:idx val="1"/>
          <c:order val="1"/>
          <c:tx>
            <c:strRef>
              <c:f>'Results MAN'!$T$3</c:f>
              <c:strCache>
                <c:ptCount val="1"/>
                <c:pt idx="0">
                  <c:v>Received from Gen</c:v>
                </c:pt>
              </c:strCache>
            </c:strRef>
          </c:tx>
          <c:invertIfNegative val="0"/>
          <c:cat>
            <c:strRef>
              <c:f>'Results MAN'!$L$4:$L$8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MAN'!$T$4:$T$8</c:f>
              <c:numCache>
                <c:formatCode>#,##0</c:formatCode>
                <c:ptCount val="5"/>
                <c:pt idx="0">
                  <c:v>-514793.84999999928</c:v>
                </c:pt>
                <c:pt idx="1">
                  <c:v>-514212.36438749876</c:v>
                </c:pt>
                <c:pt idx="2">
                  <c:v>-527402.02103249915</c:v>
                </c:pt>
                <c:pt idx="3">
                  <c:v>-565596.45570000086</c:v>
                </c:pt>
                <c:pt idx="4">
                  <c:v>-514808.05502749793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105240"/>
        <c:axId val="248105632"/>
      </c:barChart>
      <c:catAx>
        <c:axId val="24810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8105632"/>
        <c:crosses val="autoZero"/>
        <c:auto val="1"/>
        <c:lblAlgn val="ctr"/>
        <c:lblOffset val="100"/>
        <c:noMultiLvlLbl val="0"/>
      </c:catAx>
      <c:valAx>
        <c:axId val="248105632"/>
        <c:scaling>
          <c:orientation val="minMax"/>
        </c:scaling>
        <c:delete val="0"/>
        <c:axPos val="l"/>
        <c:majorGridlines/>
        <c:numFmt formatCode="&quot;£&quot;#,##0" sourceLinked="0"/>
        <c:majorTickMark val="none"/>
        <c:minorTickMark val="none"/>
        <c:tickLblPos val="nextTo"/>
        <c:spPr>
          <a:ln w="9525">
            <a:noFill/>
          </a:ln>
        </c:spPr>
        <c:crossAx val="248105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Difference in REP Payments to Generators from current methodology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MAN'!$V$3</c:f>
              <c:strCache>
                <c:ptCount val="1"/>
                <c:pt idx="0">
                  <c:v>Nov 14</c:v>
                </c:pt>
              </c:strCache>
            </c:strRef>
          </c:tx>
          <c:invertIfNegative val="0"/>
          <c:cat>
            <c:strRef>
              <c:f>'Results MAN'!$L$10:$L$13</c:f>
              <c:strCache>
                <c:ptCount val="4"/>
                <c:pt idx="0">
                  <c:v>Baseload</c:v>
                </c:pt>
                <c:pt idx="1">
                  <c:v>Peak + Offpeak</c:v>
                </c:pt>
                <c:pt idx="2">
                  <c:v>Peak</c:v>
                </c:pt>
                <c:pt idx="3">
                  <c:v>Cap/Collar</c:v>
                </c:pt>
              </c:strCache>
            </c:strRef>
          </c:cat>
          <c:val>
            <c:numRef>
              <c:f>'Results MAN'!$V$10:$V$13</c:f>
              <c:numCache>
                <c:formatCode>_-"£"* #,##0_-;\-"£"* #,##0_-;_-"£"* "-"??_-;_-@_-</c:formatCode>
                <c:ptCount val="4"/>
                <c:pt idx="0">
                  <c:v>162.27901937999903</c:v>
                </c:pt>
                <c:pt idx="1">
                  <c:v>123.84200302500277</c:v>
                </c:pt>
                <c:pt idx="2">
                  <c:v>189.59179245500104</c:v>
                </c:pt>
                <c:pt idx="3">
                  <c:v>-0.17341812249424393</c:v>
                </c:pt>
              </c:numCache>
            </c:numRef>
          </c:val>
        </c:ser>
        <c:ser>
          <c:idx val="1"/>
          <c:order val="1"/>
          <c:tx>
            <c:strRef>
              <c:f>'Results MAN'!$W$3</c:f>
              <c:strCache>
                <c:ptCount val="1"/>
                <c:pt idx="0">
                  <c:v>Aug 15</c:v>
                </c:pt>
              </c:strCache>
            </c:strRef>
          </c:tx>
          <c:invertIfNegative val="0"/>
          <c:cat>
            <c:strRef>
              <c:f>'Results MAN'!$L$10:$L$13</c:f>
              <c:strCache>
                <c:ptCount val="4"/>
                <c:pt idx="0">
                  <c:v>Baseload</c:v>
                </c:pt>
                <c:pt idx="1">
                  <c:v>Peak + Offpeak</c:v>
                </c:pt>
                <c:pt idx="2">
                  <c:v>Peak</c:v>
                </c:pt>
                <c:pt idx="3">
                  <c:v>Cap/Collar</c:v>
                </c:pt>
              </c:strCache>
            </c:strRef>
          </c:cat>
          <c:val>
            <c:numRef>
              <c:f>'Results MAN'!$W$10:$W$13</c:f>
              <c:numCache>
                <c:formatCode>_-"£"* #,##0_-;\-"£"* #,##0_-;_-"£"* "-"??_-;_-@_-</c:formatCode>
                <c:ptCount val="4"/>
                <c:pt idx="0">
                  <c:v>114.8563359199959</c:v>
                </c:pt>
                <c:pt idx="1">
                  <c:v>125.39701117250928</c:v>
                </c:pt>
                <c:pt idx="2">
                  <c:v>148.29249360501137</c:v>
                </c:pt>
                <c:pt idx="3">
                  <c:v>0.76424506000080328</c:v>
                </c:pt>
              </c:numCache>
            </c:numRef>
          </c:val>
        </c:ser>
        <c:ser>
          <c:idx val="2"/>
          <c:order val="2"/>
          <c:tx>
            <c:strRef>
              <c:f>'Results MAN'!$X$3</c:f>
              <c:strCache>
                <c:ptCount val="1"/>
                <c:pt idx="0">
                  <c:v>May 15</c:v>
                </c:pt>
              </c:strCache>
            </c:strRef>
          </c:tx>
          <c:invertIfNegative val="0"/>
          <c:cat>
            <c:strRef>
              <c:f>'Results MAN'!$L$10:$L$13</c:f>
              <c:strCache>
                <c:ptCount val="4"/>
                <c:pt idx="0">
                  <c:v>Baseload</c:v>
                </c:pt>
                <c:pt idx="1">
                  <c:v>Peak + Offpeak</c:v>
                </c:pt>
                <c:pt idx="2">
                  <c:v>Peak</c:v>
                </c:pt>
                <c:pt idx="3">
                  <c:v>Cap/Collar</c:v>
                </c:pt>
              </c:strCache>
            </c:strRef>
          </c:cat>
          <c:val>
            <c:numRef>
              <c:f>'Results MAN'!$X$10:$X$13</c:f>
              <c:numCache>
                <c:formatCode>_-"£"* #,##0_-;\-"£"* #,##0_-;_-"£"* "-"??_-;_-@_-</c:formatCode>
                <c:ptCount val="4"/>
                <c:pt idx="0">
                  <c:v>100.31651278750604</c:v>
                </c:pt>
                <c:pt idx="1">
                  <c:v>92.82433151750115</c:v>
                </c:pt>
                <c:pt idx="2">
                  <c:v>132.56196609999904</c:v>
                </c:pt>
                <c:pt idx="3">
                  <c:v>1.4919412491593675E-2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7197640"/>
        <c:axId val="247198032"/>
      </c:barChart>
      <c:catAx>
        <c:axId val="24719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198032"/>
        <c:crosses val="autoZero"/>
        <c:auto val="1"/>
        <c:lblAlgn val="ctr"/>
        <c:lblOffset val="100"/>
        <c:noMultiLvlLbl val="0"/>
      </c:catAx>
      <c:valAx>
        <c:axId val="24719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247197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Net REP position for November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ALL'!$M$3</c:f>
              <c:strCache>
                <c:ptCount val="1"/>
                <c:pt idx="0">
                  <c:v>Paid to Gen</c:v>
                </c:pt>
              </c:strCache>
            </c:strRef>
          </c:tx>
          <c:invertIfNegative val="0"/>
          <c:cat>
            <c:strRef>
              <c:f>'Results ALL'!$L$4:$L$8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ALL'!$M$4:$M$8</c:f>
              <c:numCache>
                <c:formatCode>#,##0</c:formatCode>
                <c:ptCount val="5"/>
                <c:pt idx="0">
                  <c:v>1397074.7600000012</c:v>
                </c:pt>
                <c:pt idx="1">
                  <c:v>1561956.9591999925</c:v>
                </c:pt>
                <c:pt idx="2">
                  <c:v>1625527.4173999988</c:v>
                </c:pt>
                <c:pt idx="3">
                  <c:v>1829617.79220001</c:v>
                </c:pt>
                <c:pt idx="4">
                  <c:v>1396448.4639625028</c:v>
                </c:pt>
              </c:numCache>
            </c:numRef>
          </c:val>
        </c:ser>
        <c:ser>
          <c:idx val="1"/>
          <c:order val="1"/>
          <c:tx>
            <c:strRef>
              <c:f>'Results ALL'!$N$3</c:f>
              <c:strCache>
                <c:ptCount val="1"/>
                <c:pt idx="0">
                  <c:v>Received from Gen</c:v>
                </c:pt>
              </c:strCache>
            </c:strRef>
          </c:tx>
          <c:invertIfNegative val="0"/>
          <c:cat>
            <c:strRef>
              <c:f>'Results ALL'!$L$4:$L$8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ALL'!$N$4:$N$8</c:f>
              <c:numCache>
                <c:formatCode>#,##0</c:formatCode>
                <c:ptCount val="5"/>
                <c:pt idx="0">
                  <c:v>-746334.5400000012</c:v>
                </c:pt>
                <c:pt idx="1">
                  <c:v>-765393.69776999636</c:v>
                </c:pt>
                <c:pt idx="2">
                  <c:v>-790068.48501749849</c:v>
                </c:pt>
                <c:pt idx="3">
                  <c:v>-896553.46725749713</c:v>
                </c:pt>
                <c:pt idx="4">
                  <c:v>-746365.94625500613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7199208"/>
        <c:axId val="247199600"/>
      </c:barChart>
      <c:catAx>
        <c:axId val="24719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199600"/>
        <c:crosses val="autoZero"/>
        <c:auto val="1"/>
        <c:lblAlgn val="ctr"/>
        <c:lblOffset val="100"/>
        <c:noMultiLvlLbl val="0"/>
      </c:catAx>
      <c:valAx>
        <c:axId val="247199600"/>
        <c:scaling>
          <c:orientation val="minMax"/>
        </c:scaling>
        <c:delete val="0"/>
        <c:axPos val="l"/>
        <c:majorGridlines/>
        <c:numFmt formatCode="&quot;£&quot;#,##0" sourceLinked="0"/>
        <c:majorTickMark val="none"/>
        <c:minorTickMark val="none"/>
        <c:tickLblPos val="nextTo"/>
        <c:spPr>
          <a:ln w="9525">
            <a:noFill/>
          </a:ln>
        </c:spPr>
        <c:crossAx val="247199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Net REP position for May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ALL'!$P$3</c:f>
              <c:strCache>
                <c:ptCount val="1"/>
                <c:pt idx="0">
                  <c:v>Paid to Gen</c:v>
                </c:pt>
              </c:strCache>
            </c:strRef>
          </c:tx>
          <c:invertIfNegative val="0"/>
          <c:cat>
            <c:strRef>
              <c:f>'Results ALL'!$L$4:$L$8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ALL'!$P$4:$P$8</c:f>
              <c:numCache>
                <c:formatCode>#,##0</c:formatCode>
                <c:ptCount val="5"/>
                <c:pt idx="0">
                  <c:v>1592996.8199999919</c:v>
                </c:pt>
                <c:pt idx="1">
                  <c:v>1752555.8532000075</c:v>
                </c:pt>
                <c:pt idx="2">
                  <c:v>1815434.4438750008</c:v>
                </c:pt>
                <c:pt idx="3">
                  <c:v>1884243.6876749962</c:v>
                </c:pt>
                <c:pt idx="4">
                  <c:v>1592680.2434924974</c:v>
                </c:pt>
              </c:numCache>
            </c:numRef>
          </c:val>
        </c:ser>
        <c:ser>
          <c:idx val="1"/>
          <c:order val="1"/>
          <c:tx>
            <c:strRef>
              <c:f>'Results ALL'!$Q$3</c:f>
              <c:strCache>
                <c:ptCount val="1"/>
                <c:pt idx="0">
                  <c:v>Received from Gen</c:v>
                </c:pt>
              </c:strCache>
            </c:strRef>
          </c:tx>
          <c:invertIfNegative val="0"/>
          <c:cat>
            <c:strRef>
              <c:f>'Results ALL'!$L$4:$L$8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ALL'!$Q$4:$Q$8</c:f>
              <c:numCache>
                <c:formatCode>#,##0</c:formatCode>
                <c:ptCount val="5"/>
                <c:pt idx="0">
                  <c:v>-685136.49000000162</c:v>
                </c:pt>
                <c:pt idx="1">
                  <c:v>-737906.86404000502</c:v>
                </c:pt>
                <c:pt idx="2">
                  <c:v>-755322.27525000065</c:v>
                </c:pt>
                <c:pt idx="3">
                  <c:v>-793353.51744749222</c:v>
                </c:pt>
                <c:pt idx="4">
                  <c:v>-684051.10124499793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7200384"/>
        <c:axId val="247200776"/>
      </c:barChart>
      <c:catAx>
        <c:axId val="24720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200776"/>
        <c:crosses val="autoZero"/>
        <c:auto val="1"/>
        <c:lblAlgn val="ctr"/>
        <c:lblOffset val="100"/>
        <c:noMultiLvlLbl val="0"/>
      </c:catAx>
      <c:valAx>
        <c:axId val="247200776"/>
        <c:scaling>
          <c:orientation val="minMax"/>
        </c:scaling>
        <c:delete val="0"/>
        <c:axPos val="l"/>
        <c:majorGridlines/>
        <c:numFmt formatCode="&quot;£&quot;#,##0" sourceLinked="0"/>
        <c:majorTickMark val="none"/>
        <c:minorTickMark val="none"/>
        <c:tickLblPos val="nextTo"/>
        <c:spPr>
          <a:ln w="9525">
            <a:noFill/>
          </a:ln>
        </c:spPr>
        <c:crossAx val="247200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Net REP position for August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ALL'!$S$3</c:f>
              <c:strCache>
                <c:ptCount val="1"/>
                <c:pt idx="0">
                  <c:v>Paid to Gen</c:v>
                </c:pt>
              </c:strCache>
            </c:strRef>
          </c:tx>
          <c:invertIfNegative val="0"/>
          <c:cat>
            <c:strRef>
              <c:f>'Results ALL'!$L$4:$L$8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ALL'!$S$4:$S$8</c:f>
              <c:numCache>
                <c:formatCode>#,##0</c:formatCode>
                <c:ptCount val="5"/>
                <c:pt idx="0">
                  <c:v>1225326.5600000054</c:v>
                </c:pt>
                <c:pt idx="1">
                  <c:v>1314713.2373250036</c:v>
                </c:pt>
                <c:pt idx="2">
                  <c:v>1358877.1453750026</c:v>
                </c:pt>
                <c:pt idx="3">
                  <c:v>1446089.5902000107</c:v>
                </c:pt>
                <c:pt idx="4">
                  <c:v>1225361.2652375016</c:v>
                </c:pt>
              </c:numCache>
            </c:numRef>
          </c:val>
        </c:ser>
        <c:ser>
          <c:idx val="1"/>
          <c:order val="1"/>
          <c:tx>
            <c:strRef>
              <c:f>'Results ALL'!$T$3</c:f>
              <c:strCache>
                <c:ptCount val="1"/>
                <c:pt idx="0">
                  <c:v>Received from Gen</c:v>
                </c:pt>
              </c:strCache>
            </c:strRef>
          </c:tx>
          <c:invertIfNegative val="0"/>
          <c:cat>
            <c:strRef>
              <c:f>'Results ALL'!$L$4:$L$8</c:f>
              <c:strCache>
                <c:ptCount val="5"/>
                <c:pt idx="0">
                  <c:v>Current </c:v>
                </c:pt>
                <c:pt idx="1">
                  <c:v>Baseload</c:v>
                </c:pt>
                <c:pt idx="2">
                  <c:v>Peak + Offpeak</c:v>
                </c:pt>
                <c:pt idx="3">
                  <c:v>Peak</c:v>
                </c:pt>
                <c:pt idx="4">
                  <c:v>Cap/Collar</c:v>
                </c:pt>
              </c:strCache>
            </c:strRef>
          </c:cat>
          <c:val>
            <c:numRef>
              <c:f>'Results ALL'!$T$4:$T$8</c:f>
              <c:numCache>
                <c:formatCode>#,##0</c:formatCode>
                <c:ptCount val="5"/>
                <c:pt idx="0">
                  <c:v>-521907.6800000018</c:v>
                </c:pt>
                <c:pt idx="1">
                  <c:v>-520435.04308499891</c:v>
                </c:pt>
                <c:pt idx="2">
                  <c:v>-534009.80201249896</c:v>
                </c:pt>
                <c:pt idx="3">
                  <c:v>-572440.95276000036</c:v>
                </c:pt>
                <c:pt idx="4">
                  <c:v>-521921.89182500029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7496312"/>
        <c:axId val="247496704"/>
      </c:barChart>
      <c:catAx>
        <c:axId val="24749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496704"/>
        <c:crosses val="autoZero"/>
        <c:auto val="1"/>
        <c:lblAlgn val="ctr"/>
        <c:lblOffset val="100"/>
        <c:noMultiLvlLbl val="0"/>
      </c:catAx>
      <c:valAx>
        <c:axId val="247496704"/>
        <c:scaling>
          <c:orientation val="minMax"/>
        </c:scaling>
        <c:delete val="0"/>
        <c:axPos val="l"/>
        <c:majorGridlines/>
        <c:numFmt formatCode="&quot;£&quot;#,##0" sourceLinked="0"/>
        <c:majorTickMark val="none"/>
        <c:minorTickMark val="none"/>
        <c:tickLblPos val="nextTo"/>
        <c:spPr>
          <a:ln w="9525">
            <a:noFill/>
          </a:ln>
        </c:spPr>
        <c:crossAx val="247496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Difference in REP Payments to Generators from current methodology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'Results ALL'!$V$3</c:f>
              <c:strCache>
                <c:ptCount val="1"/>
                <c:pt idx="0">
                  <c:v>Nov 14</c:v>
                </c:pt>
              </c:strCache>
            </c:strRef>
          </c:tx>
          <c:invertIfNegative val="0"/>
          <c:cat>
            <c:strRef>
              <c:f>'Results ALL'!$L$10:$L$13</c:f>
              <c:strCache>
                <c:ptCount val="4"/>
                <c:pt idx="0">
                  <c:v>Baseload</c:v>
                </c:pt>
                <c:pt idx="1">
                  <c:v>Peak + Offpeak</c:v>
                </c:pt>
                <c:pt idx="2">
                  <c:v>Peak</c:v>
                </c:pt>
                <c:pt idx="3">
                  <c:v>Cap/Collar</c:v>
                </c:pt>
              </c:strCache>
            </c:strRef>
          </c:cat>
          <c:val>
            <c:numRef>
              <c:f>'Results ALL'!$V$10:$V$13</c:f>
              <c:numCache>
                <c:formatCode>_-"£"* #,##0_-;\-"£"* #,##0_-;_-"£"* "-"??_-;_-@_-</c:formatCode>
                <c:ptCount val="4"/>
                <c:pt idx="0">
                  <c:v>145.82304142999612</c:v>
                </c:pt>
                <c:pt idx="1">
                  <c:v>184.71871238250026</c:v>
                </c:pt>
                <c:pt idx="2">
                  <c:v>282.32410494251292</c:v>
                </c:pt>
                <c:pt idx="3">
                  <c:v>-0.65770229250335888</c:v>
                </c:pt>
              </c:numCache>
            </c:numRef>
          </c:val>
        </c:ser>
        <c:ser>
          <c:idx val="1"/>
          <c:order val="1"/>
          <c:tx>
            <c:strRef>
              <c:f>'Results ALL'!$W$3</c:f>
              <c:strCache>
                <c:ptCount val="1"/>
                <c:pt idx="0">
                  <c:v>Aug 15</c:v>
                </c:pt>
              </c:strCache>
            </c:strRef>
          </c:tx>
          <c:invertIfNegative val="0"/>
          <c:cat>
            <c:strRef>
              <c:f>'Results ALL'!$L$10:$L$13</c:f>
              <c:strCache>
                <c:ptCount val="4"/>
                <c:pt idx="0">
                  <c:v>Baseload</c:v>
                </c:pt>
                <c:pt idx="1">
                  <c:v>Peak + Offpeak</c:v>
                </c:pt>
                <c:pt idx="2">
                  <c:v>Peak</c:v>
                </c:pt>
                <c:pt idx="3">
                  <c:v>Cap/Collar</c:v>
                </c:pt>
              </c:strCache>
            </c:strRef>
          </c:cat>
          <c:val>
            <c:numRef>
              <c:f>'Results ALL'!$W$10:$W$13</c:f>
              <c:numCache>
                <c:formatCode>_-"£"* #,##0_-;\-"£"* #,##0_-;_-"£"* "-"??_-;_-@_-</c:formatCode>
                <c:ptCount val="4"/>
                <c:pt idx="0">
                  <c:v>106.78865916001212</c:v>
                </c:pt>
                <c:pt idx="1">
                  <c:v>152.25183862500978</c:v>
                </c:pt>
                <c:pt idx="2">
                  <c:v>183.02984022751355</c:v>
                </c:pt>
                <c:pt idx="3">
                  <c:v>0.7688122475091177</c:v>
                </c:pt>
              </c:numCache>
            </c:numRef>
          </c:val>
        </c:ser>
        <c:ser>
          <c:idx val="2"/>
          <c:order val="2"/>
          <c:tx>
            <c:strRef>
              <c:f>'Results ALL'!$X$3</c:f>
              <c:strCache>
                <c:ptCount val="1"/>
                <c:pt idx="0">
                  <c:v>May 15</c:v>
                </c:pt>
              </c:strCache>
            </c:strRef>
          </c:tx>
          <c:invertIfNegative val="0"/>
          <c:cat>
            <c:strRef>
              <c:f>'Results ALL'!$L$10:$L$13</c:f>
              <c:strCache>
                <c:ptCount val="4"/>
                <c:pt idx="0">
                  <c:v>Baseload</c:v>
                </c:pt>
                <c:pt idx="1">
                  <c:v>Peak + Offpeak</c:v>
                </c:pt>
                <c:pt idx="2">
                  <c:v>Peak</c:v>
                </c:pt>
                <c:pt idx="3">
                  <c:v>Cap/Collar</c:v>
                </c:pt>
              </c:strCache>
            </c:strRef>
          </c:cat>
          <c:val>
            <c:numRef>
              <c:f>'Results ALL'!$X$10:$X$13</c:f>
              <c:numCache>
                <c:formatCode>_-"£"* #,##0_-;\-"£"* #,##0_-;_-"£"* "-"??_-;_-@_-</c:formatCode>
                <c:ptCount val="4"/>
                <c:pt idx="0">
                  <c:v>90.85931424000114</c:v>
                </c:pt>
                <c:pt idx="1">
                  <c:v>121.44846336250009</c:v>
                </c:pt>
                <c:pt idx="2">
                  <c:v>170.22975744000678</c:v>
                </c:pt>
                <c:pt idx="3">
                  <c:v>2.049341249767167E-2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7497488"/>
        <c:axId val="247497880"/>
      </c:barChart>
      <c:catAx>
        <c:axId val="24749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497880"/>
        <c:crosses val="autoZero"/>
        <c:auto val="1"/>
        <c:lblAlgn val="ctr"/>
        <c:lblOffset val="100"/>
        <c:noMultiLvlLbl val="0"/>
      </c:catAx>
      <c:valAx>
        <c:axId val="247497880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474974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25</xdr:row>
      <xdr:rowOff>66675</xdr:rowOff>
    </xdr:from>
    <xdr:to>
      <xdr:col>18</xdr:col>
      <xdr:colOff>180975</xdr:colOff>
      <xdr:row>42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142875</xdr:colOff>
      <xdr:row>60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18</xdr:col>
      <xdr:colOff>142875</xdr:colOff>
      <xdr:row>78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9</xdr:row>
      <xdr:rowOff>57150</xdr:rowOff>
    </xdr:from>
    <xdr:to>
      <xdr:col>18</xdr:col>
      <xdr:colOff>190501</xdr:colOff>
      <xdr:row>24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25</xdr:row>
      <xdr:rowOff>66675</xdr:rowOff>
    </xdr:from>
    <xdr:to>
      <xdr:col>18</xdr:col>
      <xdr:colOff>180975</xdr:colOff>
      <xdr:row>42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142875</xdr:colOff>
      <xdr:row>60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18</xdr:col>
      <xdr:colOff>142875</xdr:colOff>
      <xdr:row>78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9</xdr:row>
      <xdr:rowOff>57150</xdr:rowOff>
    </xdr:from>
    <xdr:to>
      <xdr:col>18</xdr:col>
      <xdr:colOff>190501</xdr:colOff>
      <xdr:row>24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5" x14ac:dyDescent="0.25"/>
  <cols>
    <col min="1" max="1" width="11.85546875" customWidth="1"/>
    <col min="2" max="2" width="10.28515625" customWidth="1"/>
    <col min="3" max="3" width="14.42578125" bestFit="1" customWidth="1"/>
    <col min="4" max="4" width="11.5703125" bestFit="1" customWidth="1"/>
    <col min="5" max="5" width="10.7109375" customWidth="1"/>
    <col min="6" max="6" width="9" bestFit="1" customWidth="1"/>
    <col min="7" max="7" width="9.140625" customWidth="1"/>
  </cols>
  <sheetData>
    <row r="1" spans="1:11" x14ac:dyDescent="0.25">
      <c r="A1" t="s">
        <v>1</v>
      </c>
    </row>
    <row r="4" spans="1:11" x14ac:dyDescent="0.25">
      <c r="B4" s="5" t="s">
        <v>2</v>
      </c>
      <c r="C4" s="9" t="s">
        <v>0</v>
      </c>
      <c r="I4" s="5"/>
      <c r="J4" s="5"/>
      <c r="K4" s="5"/>
    </row>
    <row r="5" spans="1:11" x14ac:dyDescent="0.25">
      <c r="B5" s="2"/>
      <c r="C5" s="7" t="s">
        <v>3</v>
      </c>
      <c r="I5" s="5"/>
      <c r="J5" s="5"/>
      <c r="K5" s="6"/>
    </row>
    <row r="6" spans="1:11" x14ac:dyDescent="0.25">
      <c r="A6" s="1"/>
      <c r="B6" s="3">
        <v>41944</v>
      </c>
      <c r="C6" s="2">
        <v>47.56</v>
      </c>
    </row>
    <row r="7" spans="1:11" x14ac:dyDescent="0.25">
      <c r="A7" s="1"/>
      <c r="B7" s="4">
        <v>42125</v>
      </c>
      <c r="C7" s="2">
        <v>42.72</v>
      </c>
    </row>
    <row r="8" spans="1:11" x14ac:dyDescent="0.25">
      <c r="A8" s="1"/>
      <c r="B8" s="4">
        <v>42217</v>
      </c>
      <c r="C8" s="2">
        <v>41.53</v>
      </c>
    </row>
    <row r="10" spans="1:11" x14ac:dyDescent="0.25">
      <c r="B10" s="5" t="s">
        <v>4</v>
      </c>
      <c r="C10" s="9" t="s">
        <v>5</v>
      </c>
    </row>
    <row r="11" spans="1:11" x14ac:dyDescent="0.25">
      <c r="B11" s="2"/>
      <c r="C11" s="7" t="s">
        <v>3</v>
      </c>
      <c r="D11" s="2"/>
      <c r="F11" s="13" t="s">
        <v>16</v>
      </c>
    </row>
    <row r="12" spans="1:11" ht="30" x14ac:dyDescent="0.25">
      <c r="A12" s="1"/>
      <c r="C12" s="8" t="s">
        <v>6</v>
      </c>
      <c r="D12" s="8" t="s">
        <v>14</v>
      </c>
      <c r="F12" s="11" t="s">
        <v>12</v>
      </c>
      <c r="G12" s="11" t="s">
        <v>13</v>
      </c>
      <c r="H12" s="11" t="s">
        <v>15</v>
      </c>
      <c r="J12" t="s">
        <v>17</v>
      </c>
    </row>
    <row r="13" spans="1:11" x14ac:dyDescent="0.25">
      <c r="A13" s="1"/>
      <c r="B13" s="3">
        <v>41944</v>
      </c>
      <c r="C13" s="2">
        <v>55.71</v>
      </c>
      <c r="D13" s="10">
        <f>(F13-G13)/H13</f>
        <v>43.485000000000007</v>
      </c>
      <c r="F13" s="12">
        <f>24*30*C6</f>
        <v>34243.200000000004</v>
      </c>
      <c r="G13" s="12">
        <f>12*20*C13</f>
        <v>13370.4</v>
      </c>
      <c r="H13" s="12">
        <f>20*12+10*24</f>
        <v>480</v>
      </c>
      <c r="J13" t="s">
        <v>18</v>
      </c>
    </row>
    <row r="14" spans="1:11" x14ac:dyDescent="0.25">
      <c r="A14" s="1"/>
      <c r="B14" s="4">
        <v>42125</v>
      </c>
      <c r="C14" s="2">
        <v>45.93</v>
      </c>
      <c r="D14" s="10">
        <f t="shared" ref="D14" si="0">(F14-G14)/H14</f>
        <v>42.10275</v>
      </c>
      <c r="F14" s="12">
        <f>24*31*C7</f>
        <v>31783.68</v>
      </c>
      <c r="G14" s="12">
        <f>12*21*C14</f>
        <v>11574.36</v>
      </c>
      <c r="H14" s="12">
        <f>20*12+10*24</f>
        <v>480</v>
      </c>
      <c r="J14" t="s">
        <v>19</v>
      </c>
    </row>
    <row r="15" spans="1:11" x14ac:dyDescent="0.25">
      <c r="B15" s="4">
        <v>42217</v>
      </c>
      <c r="C15" s="2">
        <v>45.68</v>
      </c>
      <c r="D15" s="10">
        <f>(F15-G15)/H15</f>
        <v>39.55380952380952</v>
      </c>
      <c r="F15" s="12">
        <f>24*31*C8</f>
        <v>30898.32</v>
      </c>
      <c r="G15" s="12">
        <f>12*20*C15</f>
        <v>10963.2</v>
      </c>
      <c r="H15" s="12">
        <f>20*12+11*24</f>
        <v>504</v>
      </c>
      <c r="J15" t="s">
        <v>20</v>
      </c>
    </row>
    <row r="17" spans="2:8" x14ac:dyDescent="0.25">
      <c r="B17" s="5" t="s">
        <v>7</v>
      </c>
      <c r="C17" s="9" t="s">
        <v>21</v>
      </c>
    </row>
    <row r="18" spans="2:8" x14ac:dyDescent="0.25">
      <c r="B18" s="2"/>
      <c r="C18" s="7" t="s">
        <v>3</v>
      </c>
      <c r="D18" s="2"/>
    </row>
    <row r="19" spans="2:8" x14ac:dyDescent="0.25">
      <c r="B19" s="3">
        <v>41944</v>
      </c>
      <c r="C19" s="2">
        <v>55.71</v>
      </c>
    </row>
    <row r="20" spans="2:8" x14ac:dyDescent="0.25">
      <c r="B20" s="4">
        <v>42125</v>
      </c>
      <c r="C20" s="2">
        <v>45.93</v>
      </c>
    </row>
    <row r="21" spans="2:8" x14ac:dyDescent="0.25">
      <c r="B21" s="4">
        <v>42217</v>
      </c>
      <c r="C21" s="2">
        <v>45.68</v>
      </c>
    </row>
    <row r="23" spans="2:8" x14ac:dyDescent="0.25">
      <c r="B23" s="5" t="s">
        <v>8</v>
      </c>
      <c r="C23" s="9" t="s">
        <v>9</v>
      </c>
    </row>
    <row r="24" spans="2:8" x14ac:dyDescent="0.25">
      <c r="B24" s="5"/>
      <c r="C24" s="7" t="s">
        <v>3</v>
      </c>
    </row>
    <row r="25" spans="2:8" x14ac:dyDescent="0.25">
      <c r="B25" s="2"/>
      <c r="C25" t="s">
        <v>10</v>
      </c>
      <c r="D25" t="s">
        <v>11</v>
      </c>
    </row>
    <row r="26" spans="2:8" x14ac:dyDescent="0.25">
      <c r="B26" s="4">
        <v>41944</v>
      </c>
      <c r="C26">
        <f>2*C6</f>
        <v>95.12</v>
      </c>
      <c r="D26">
        <v>0</v>
      </c>
    </row>
    <row r="27" spans="2:8" x14ac:dyDescent="0.25">
      <c r="B27" s="4">
        <v>42125</v>
      </c>
      <c r="C27">
        <f>2*C7</f>
        <v>85.44</v>
      </c>
      <c r="D27">
        <v>0</v>
      </c>
    </row>
    <row r="28" spans="2:8" x14ac:dyDescent="0.25">
      <c r="B28" s="4">
        <v>42217</v>
      </c>
      <c r="C28">
        <f>2*C8</f>
        <v>83.06</v>
      </c>
      <c r="D28">
        <v>0</v>
      </c>
    </row>
    <row r="30" spans="2:8" x14ac:dyDescent="0.25">
      <c r="B30" s="28" t="str">
        <f>C5</f>
        <v>£/MWh</v>
      </c>
      <c r="C30" s="30" t="str">
        <f>C4</f>
        <v>Baseload</v>
      </c>
      <c r="D30" s="26" t="str">
        <f>C10</f>
        <v>Peak + Offpeak</v>
      </c>
      <c r="E30" s="27"/>
      <c r="F30" s="28" t="str">
        <f>C17</f>
        <v>Peak</v>
      </c>
      <c r="G30" s="26" t="str">
        <f>C23</f>
        <v>Existing MIP w/ cap &amp; collar</v>
      </c>
      <c r="H30" s="27"/>
    </row>
    <row r="31" spans="2:8" ht="30" x14ac:dyDescent="0.25">
      <c r="B31" s="29"/>
      <c r="C31" s="31"/>
      <c r="D31" s="19" t="str">
        <f>C12</f>
        <v>7am-7pm weekdays</v>
      </c>
      <c r="E31" s="19" t="str">
        <f>D12</f>
        <v>Remaining times</v>
      </c>
      <c r="F31" s="29"/>
      <c r="G31" s="19" t="str">
        <f>C25</f>
        <v>Cap</v>
      </c>
      <c r="H31" s="19" t="str">
        <f>D25</f>
        <v>Collar</v>
      </c>
    </row>
    <row r="32" spans="2:8" x14ac:dyDescent="0.25">
      <c r="B32" s="20">
        <f>B26</f>
        <v>41944</v>
      </c>
      <c r="C32" s="19">
        <f>C6</f>
        <v>47.56</v>
      </c>
      <c r="D32" s="19">
        <f>C13</f>
        <v>55.71</v>
      </c>
      <c r="E32" s="21">
        <f>D13</f>
        <v>43.485000000000007</v>
      </c>
      <c r="F32" s="19">
        <f>C19</f>
        <v>55.71</v>
      </c>
      <c r="G32" s="19">
        <f>C26</f>
        <v>95.12</v>
      </c>
      <c r="H32" s="19">
        <f>D26</f>
        <v>0</v>
      </c>
    </row>
    <row r="33" spans="2:8" x14ac:dyDescent="0.25">
      <c r="B33" s="20">
        <f>B27</f>
        <v>42125</v>
      </c>
      <c r="C33" s="19">
        <f t="shared" ref="C33:C34" si="1">C7</f>
        <v>42.72</v>
      </c>
      <c r="D33" s="19">
        <f t="shared" ref="D33:E33" si="2">C14</f>
        <v>45.93</v>
      </c>
      <c r="E33" s="21">
        <f t="shared" si="2"/>
        <v>42.10275</v>
      </c>
      <c r="F33" s="19">
        <f t="shared" ref="F33:F34" si="3">C20</f>
        <v>45.93</v>
      </c>
      <c r="G33" s="19">
        <f t="shared" ref="G33:H33" si="4">C27</f>
        <v>85.44</v>
      </c>
      <c r="H33" s="19">
        <f t="shared" si="4"/>
        <v>0</v>
      </c>
    </row>
    <row r="34" spans="2:8" x14ac:dyDescent="0.25">
      <c r="B34" s="20">
        <f>B28</f>
        <v>42217</v>
      </c>
      <c r="C34" s="19">
        <f t="shared" si="1"/>
        <v>41.53</v>
      </c>
      <c r="D34" s="19">
        <f t="shared" ref="D34:E34" si="5">C15</f>
        <v>45.68</v>
      </c>
      <c r="E34" s="21">
        <f t="shared" si="5"/>
        <v>39.55380952380952</v>
      </c>
      <c r="F34" s="19">
        <f t="shared" si="3"/>
        <v>45.68</v>
      </c>
      <c r="G34" s="19">
        <f t="shared" ref="G34:H34" si="6">C28</f>
        <v>83.06</v>
      </c>
      <c r="H34" s="19">
        <f t="shared" si="6"/>
        <v>0</v>
      </c>
    </row>
  </sheetData>
  <mergeCells count="5">
    <mergeCell ref="G30:H30"/>
    <mergeCell ref="D30:E30"/>
    <mergeCell ref="F30:F31"/>
    <mergeCell ref="C30:C31"/>
    <mergeCell ref="B30:B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4"/>
  <sheetViews>
    <sheetView tabSelected="1" workbookViewId="0">
      <selection activeCell="H12" sqref="H12"/>
    </sheetView>
  </sheetViews>
  <sheetFormatPr defaultRowHeight="15" x14ac:dyDescent="0.25"/>
  <cols>
    <col min="1" max="1" width="28.85546875" bestFit="1" customWidth="1"/>
    <col min="3" max="3" width="11.7109375" style="2" bestFit="1" customWidth="1"/>
    <col min="4" max="4" width="14" style="2" bestFit="1" customWidth="1"/>
    <col min="8" max="8" width="18.5703125" bestFit="1" customWidth="1"/>
    <col min="9" max="9" width="17.42578125" bestFit="1" customWidth="1"/>
    <col min="10" max="11" width="10" customWidth="1"/>
    <col min="15" max="15" width="10.5703125" bestFit="1" customWidth="1"/>
    <col min="22" max="24" width="12.5703125" bestFit="1" customWidth="1"/>
  </cols>
  <sheetData>
    <row r="2" spans="1:24" x14ac:dyDescent="0.25">
      <c r="C2" s="17" t="s">
        <v>29</v>
      </c>
      <c r="D2" s="17" t="s">
        <v>28</v>
      </c>
      <c r="E2" s="17" t="s">
        <v>39</v>
      </c>
      <c r="F2" s="17" t="s">
        <v>40</v>
      </c>
      <c r="G2" s="17"/>
      <c r="H2" s="17" t="s">
        <v>41</v>
      </c>
      <c r="I2" s="17" t="s">
        <v>42</v>
      </c>
      <c r="M2" s="18" t="s">
        <v>32</v>
      </c>
      <c r="P2" s="18" t="s">
        <v>33</v>
      </c>
      <c r="S2" s="18" t="s">
        <v>34</v>
      </c>
    </row>
    <row r="3" spans="1:24" x14ac:dyDescent="0.25">
      <c r="A3" t="s">
        <v>27</v>
      </c>
      <c r="B3" s="16">
        <v>41944</v>
      </c>
      <c r="C3" s="15">
        <v>742961.71999999729</v>
      </c>
      <c r="D3" s="15">
        <v>-745854.79000000306</v>
      </c>
      <c r="F3" s="14">
        <f>C3+D3</f>
        <v>-2893.0700000057695</v>
      </c>
      <c r="M3" s="14" t="s">
        <v>30</v>
      </c>
      <c r="N3" t="s">
        <v>31</v>
      </c>
      <c r="O3" t="s">
        <v>37</v>
      </c>
      <c r="P3" s="14" t="s">
        <v>30</v>
      </c>
      <c r="Q3" t="s">
        <v>31</v>
      </c>
      <c r="R3" t="s">
        <v>37</v>
      </c>
      <c r="S3" s="14" t="s">
        <v>30</v>
      </c>
      <c r="T3" t="s">
        <v>31</v>
      </c>
      <c r="U3" t="s">
        <v>37</v>
      </c>
      <c r="V3" s="16" t="str">
        <f>M2</f>
        <v>Nov 14</v>
      </c>
      <c r="W3" s="16" t="str">
        <f>S2</f>
        <v>Aug 15</v>
      </c>
      <c r="X3" s="16" t="str">
        <f>P2</f>
        <v>May 15</v>
      </c>
    </row>
    <row r="4" spans="1:24" x14ac:dyDescent="0.25">
      <c r="B4" s="16">
        <v>42125</v>
      </c>
      <c r="C4" s="15">
        <v>1013946.2499999937</v>
      </c>
      <c r="D4" s="15">
        <v>-683820.45000000135</v>
      </c>
      <c r="F4" s="14">
        <f t="shared" ref="F4:F5" si="0">C4+D4</f>
        <v>330125.79999999236</v>
      </c>
      <c r="L4" t="s">
        <v>35</v>
      </c>
      <c r="M4" s="14">
        <f>C3</f>
        <v>742961.71999999729</v>
      </c>
      <c r="N4" s="14">
        <f>D3</f>
        <v>-745854.79000000306</v>
      </c>
      <c r="O4" s="23">
        <f>(M4+N4)/1000</f>
        <v>-2.8930700000057694</v>
      </c>
      <c r="P4" s="14">
        <f>C4</f>
        <v>1013946.2499999937</v>
      </c>
      <c r="Q4" s="14">
        <f>D4</f>
        <v>-683820.45000000135</v>
      </c>
      <c r="R4" s="23">
        <f>(P4+Q4)/1000</f>
        <v>330.12579999999235</v>
      </c>
      <c r="S4" s="14">
        <f>C5</f>
        <v>737164.97000000009</v>
      </c>
      <c r="T4" s="14">
        <f>D5</f>
        <v>-514793.84999999928</v>
      </c>
      <c r="U4" s="23">
        <f>(S4+T4)/1000</f>
        <v>222.37112000000081</v>
      </c>
      <c r="V4" s="22">
        <f>O4</f>
        <v>-2.8930700000057694</v>
      </c>
      <c r="W4" s="22">
        <f>R4</f>
        <v>330.12579999999235</v>
      </c>
      <c r="X4" s="22">
        <f>U4</f>
        <v>222.37112000000081</v>
      </c>
    </row>
    <row r="5" spans="1:24" x14ac:dyDescent="0.25">
      <c r="B5" s="16">
        <v>42217</v>
      </c>
      <c r="C5" s="15">
        <v>737164.97000000009</v>
      </c>
      <c r="D5" s="15">
        <v>-514793.84999999928</v>
      </c>
      <c r="F5" s="14">
        <f t="shared" si="0"/>
        <v>222371.12000000081</v>
      </c>
      <c r="L5" t="s">
        <v>0</v>
      </c>
      <c r="M5" s="14">
        <f>C9</f>
        <v>924366.23184999183</v>
      </c>
      <c r="N5" s="14">
        <f>D9</f>
        <v>-764980.28246999858</v>
      </c>
      <c r="O5" s="23">
        <f t="shared" ref="O5:O8" si="1">(M5+N5)/1000</f>
        <v>159.38594937999326</v>
      </c>
      <c r="P5" s="14">
        <f>C10</f>
        <v>1181696.9837999917</v>
      </c>
      <c r="Q5" s="14">
        <f>D10</f>
        <v>-736714.84788000339</v>
      </c>
      <c r="R5" s="23">
        <f t="shared" ref="R5:R8" si="2">(P5+Q5)/1000</f>
        <v>444.98213591998825</v>
      </c>
      <c r="S5" s="14">
        <f>C11</f>
        <v>836899.99717500561</v>
      </c>
      <c r="T5" s="14">
        <f>D11</f>
        <v>-514212.36438749876</v>
      </c>
      <c r="U5" s="23">
        <f t="shared" ref="U5:U8" si="3">(S5+T5)/1000</f>
        <v>322.68763278750686</v>
      </c>
      <c r="V5" s="22">
        <f t="shared" ref="V5:V8" si="4">O5</f>
        <v>159.38594937999326</v>
      </c>
      <c r="W5" s="22">
        <f t="shared" ref="W5:W7" si="5">R5</f>
        <v>444.98213591998825</v>
      </c>
      <c r="X5" s="22">
        <f t="shared" ref="X5:X8" si="6">U5</f>
        <v>322.68763278750686</v>
      </c>
    </row>
    <row r="6" spans="1:24" x14ac:dyDescent="0.25">
      <c r="C6" s="15"/>
      <c r="D6" s="15"/>
      <c r="L6" t="s">
        <v>5</v>
      </c>
      <c r="M6" s="14">
        <f>C27</f>
        <v>910616.4962124984</v>
      </c>
      <c r="N6" s="14">
        <f>D27</f>
        <v>-789667.56318750139</v>
      </c>
      <c r="O6" s="23">
        <f t="shared" si="1"/>
        <v>120.948933024997</v>
      </c>
      <c r="P6" s="14">
        <f>C28</f>
        <v>1209583.0001625</v>
      </c>
      <c r="Q6" s="14">
        <f>D28</f>
        <v>-754060.18898999831</v>
      </c>
      <c r="R6" s="23">
        <f t="shared" si="2"/>
        <v>455.52281117250163</v>
      </c>
      <c r="S6" s="14">
        <f>C29</f>
        <v>842597.47255000111</v>
      </c>
      <c r="T6" s="14">
        <f>D29</f>
        <v>-527402.02103249915</v>
      </c>
      <c r="U6" s="23">
        <f t="shared" si="3"/>
        <v>315.19545151750197</v>
      </c>
      <c r="V6" s="22">
        <f t="shared" si="4"/>
        <v>120.948933024997</v>
      </c>
      <c r="W6" s="22">
        <f t="shared" si="5"/>
        <v>455.52281117250163</v>
      </c>
      <c r="X6" s="22">
        <f t="shared" si="6"/>
        <v>315.19545151750197</v>
      </c>
    </row>
    <row r="7" spans="1:24" x14ac:dyDescent="0.25">
      <c r="C7" s="15">
        <v>2494072.9399999911</v>
      </c>
      <c r="D7" s="15">
        <v>-1944469.0900000036</v>
      </c>
      <c r="E7" s="14">
        <v>549603.84999998752</v>
      </c>
      <c r="F7" s="14"/>
      <c r="G7" s="14"/>
      <c r="H7" s="14"/>
      <c r="L7" t="s">
        <v>21</v>
      </c>
      <c r="M7" s="14">
        <f>C34</f>
        <v>1082767.930537499</v>
      </c>
      <c r="N7" s="14">
        <f>D34</f>
        <v>-896069.20808250376</v>
      </c>
      <c r="O7" s="23">
        <f t="shared" si="1"/>
        <v>186.69872245499528</v>
      </c>
      <c r="P7" s="14">
        <f>C35</f>
        <v>1270490.2262625035</v>
      </c>
      <c r="Q7" s="14">
        <f>D35</f>
        <v>-792071.9326574998</v>
      </c>
      <c r="R7" s="23">
        <f t="shared" si="2"/>
        <v>478.41829360500373</v>
      </c>
      <c r="S7" s="14">
        <f>C36</f>
        <v>920529.5418000007</v>
      </c>
      <c r="T7" s="14">
        <f>D36</f>
        <v>-565596.45570000086</v>
      </c>
      <c r="U7" s="23">
        <f t="shared" si="3"/>
        <v>354.93308609999985</v>
      </c>
      <c r="V7" s="22">
        <f t="shared" si="4"/>
        <v>186.69872245499528</v>
      </c>
      <c r="W7" s="22">
        <f t="shared" si="5"/>
        <v>478.41829360500373</v>
      </c>
      <c r="X7" s="22">
        <f t="shared" si="6"/>
        <v>354.93308609999985</v>
      </c>
    </row>
    <row r="8" spans="1:24" x14ac:dyDescent="0.25">
      <c r="L8" t="s">
        <v>36</v>
      </c>
      <c r="M8" s="14">
        <f>C40</f>
        <v>742819.50102500396</v>
      </c>
      <c r="N8" s="14">
        <f>D40</f>
        <v>-745885.98914750398</v>
      </c>
      <c r="O8" s="23">
        <f t="shared" si="1"/>
        <v>-3.0664881225000133</v>
      </c>
      <c r="P8" s="14">
        <f>C41</f>
        <v>1013624.9995299992</v>
      </c>
      <c r="Q8" s="14">
        <f>D41</f>
        <v>-682734.95447000605</v>
      </c>
      <c r="R8" s="23">
        <f t="shared" si="2"/>
        <v>330.89004505999316</v>
      </c>
      <c r="S8" s="14">
        <f>C42</f>
        <v>737194.09443999035</v>
      </c>
      <c r="T8" s="14">
        <f>D42</f>
        <v>-514808.05502749793</v>
      </c>
      <c r="U8" s="23">
        <f t="shared" si="3"/>
        <v>222.38603941249241</v>
      </c>
      <c r="V8" s="22">
        <f t="shared" si="4"/>
        <v>-3.0664881225000133</v>
      </c>
      <c r="W8" s="22">
        <f>R8</f>
        <v>330.89004505999316</v>
      </c>
      <c r="X8" s="22">
        <f t="shared" si="6"/>
        <v>222.38603941249241</v>
      </c>
    </row>
    <row r="9" spans="1:24" x14ac:dyDescent="0.25">
      <c r="A9" t="s">
        <v>26</v>
      </c>
      <c r="B9" s="16">
        <v>41944</v>
      </c>
      <c r="C9" s="15">
        <v>924366.23184999183</v>
      </c>
      <c r="D9" s="15">
        <v>-764980.28246999858</v>
      </c>
      <c r="F9" s="32">
        <f>C9+D9</f>
        <v>159385.94937999325</v>
      </c>
      <c r="G9" s="14">
        <f>F9-F3</f>
        <v>162279.01937999902</v>
      </c>
      <c r="H9" s="25">
        <f>100*G9/4070000</f>
        <v>3.9871994933660693</v>
      </c>
      <c r="I9" s="25">
        <f>4.07*(100-H9)/100</f>
        <v>3.9077209806200015</v>
      </c>
      <c r="J9" s="25"/>
      <c r="K9" s="25"/>
    </row>
    <row r="10" spans="1:24" x14ac:dyDescent="0.25">
      <c r="B10" s="16">
        <v>42125</v>
      </c>
      <c r="C10" s="15">
        <v>1181696.9837999917</v>
      </c>
      <c r="D10" s="15">
        <v>-736714.84788000339</v>
      </c>
      <c r="F10" s="14">
        <f t="shared" ref="F10:F42" si="7">C10+D10</f>
        <v>444982.13591998827</v>
      </c>
      <c r="G10" s="14">
        <f t="shared" ref="G10:G11" si="8">F10-F4</f>
        <v>114856.33591999591</v>
      </c>
      <c r="H10" s="25">
        <f>100*G10/3090000</f>
        <v>3.7170335249189614</v>
      </c>
      <c r="I10" s="25">
        <f>3.09*(100-H10)/100</f>
        <v>2.975143664080004</v>
      </c>
      <c r="J10" s="14"/>
      <c r="K10" s="14"/>
      <c r="L10" t="s">
        <v>0</v>
      </c>
      <c r="V10" s="24">
        <f>V5-$V$4</f>
        <v>162.27901937999903</v>
      </c>
      <c r="W10" s="24">
        <f>W5-$W$4</f>
        <v>114.8563359199959</v>
      </c>
      <c r="X10" s="24">
        <f>X5-$X$4</f>
        <v>100.31651278750604</v>
      </c>
    </row>
    <row r="11" spans="1:24" x14ac:dyDescent="0.25">
      <c r="B11" s="16">
        <v>42217</v>
      </c>
      <c r="C11" s="15">
        <v>836899.99717500561</v>
      </c>
      <c r="D11" s="15">
        <v>-514212.36438749876</v>
      </c>
      <c r="F11" s="14">
        <f t="shared" si="7"/>
        <v>322687.63278750685</v>
      </c>
      <c r="G11" s="14">
        <f t="shared" si="8"/>
        <v>100316.51278750604</v>
      </c>
      <c r="H11" s="25">
        <f>100*G11/2560000</f>
        <v>3.9186137807619548</v>
      </c>
      <c r="I11" s="25">
        <f>2.56*(100-H11)/100</f>
        <v>2.459683487212494</v>
      </c>
      <c r="J11" s="14"/>
      <c r="K11" s="14"/>
      <c r="L11" t="s">
        <v>5</v>
      </c>
      <c r="V11" s="24">
        <f t="shared" ref="V11:V13" si="9">V6-$V$4</f>
        <v>123.84200302500277</v>
      </c>
      <c r="W11" s="24">
        <f t="shared" ref="W11:W13" si="10">W6-$W$4</f>
        <v>125.39701117250928</v>
      </c>
      <c r="X11" s="24">
        <f t="shared" ref="X11:X12" si="11">X6-$X$4</f>
        <v>92.82433151750115</v>
      </c>
    </row>
    <row r="12" spans="1:24" x14ac:dyDescent="0.25">
      <c r="F12" s="14"/>
      <c r="G12" s="14"/>
      <c r="H12" s="14"/>
      <c r="I12" s="14"/>
      <c r="J12" s="14"/>
      <c r="K12" s="14"/>
      <c r="L12" t="s">
        <v>21</v>
      </c>
      <c r="V12" s="24">
        <f t="shared" si="9"/>
        <v>189.59179245500104</v>
      </c>
      <c r="W12" s="24">
        <f t="shared" si="10"/>
        <v>148.29249360501137</v>
      </c>
      <c r="X12" s="24">
        <f t="shared" si="11"/>
        <v>132.56196609999904</v>
      </c>
    </row>
    <row r="13" spans="1:24" x14ac:dyDescent="0.25">
      <c r="C13" s="15">
        <v>2942963.2128249891</v>
      </c>
      <c r="D13" s="15">
        <v>-2015907.4947375008</v>
      </c>
      <c r="E13" s="14">
        <v>927055.71808748832</v>
      </c>
      <c r="F13" s="14"/>
      <c r="G13" s="14"/>
      <c r="H13" s="14"/>
      <c r="I13" s="14"/>
      <c r="J13" s="14"/>
      <c r="K13" s="14"/>
      <c r="L13" t="s">
        <v>36</v>
      </c>
      <c r="V13" s="24">
        <f t="shared" si="9"/>
        <v>-0.17341812249424393</v>
      </c>
      <c r="W13" s="24">
        <f t="shared" si="10"/>
        <v>0.76424506000080328</v>
      </c>
      <c r="X13" s="24">
        <f>X8-$X$4</f>
        <v>1.4919412491593675E-2</v>
      </c>
    </row>
    <row r="14" spans="1:24" x14ac:dyDescent="0.25">
      <c r="F14" s="14"/>
      <c r="G14" s="14"/>
      <c r="H14" s="14"/>
      <c r="I14" s="14"/>
      <c r="J14" s="14"/>
      <c r="K14" s="14"/>
      <c r="V14" s="24"/>
    </row>
    <row r="15" spans="1:24" x14ac:dyDescent="0.25">
      <c r="A15" t="s">
        <v>25</v>
      </c>
      <c r="B15" s="16">
        <v>41944</v>
      </c>
      <c r="C15" s="15">
        <v>297943.34737499931</v>
      </c>
      <c r="D15" s="15">
        <v>-410992.64203499962</v>
      </c>
      <c r="F15" s="14"/>
      <c r="G15" s="14"/>
      <c r="H15" s="25"/>
      <c r="I15" s="25"/>
      <c r="J15" s="25"/>
      <c r="K15" s="25"/>
      <c r="V15" s="24"/>
    </row>
    <row r="16" spans="1:24" x14ac:dyDescent="0.25">
      <c r="B16" s="16">
        <v>42125</v>
      </c>
      <c r="C16" s="15">
        <v>540080.59316249914</v>
      </c>
      <c r="D16" s="15">
        <v>-336228.75076499791</v>
      </c>
      <c r="F16" s="14"/>
      <c r="G16" s="14"/>
      <c r="H16" s="25"/>
      <c r="I16" s="25"/>
      <c r="J16" s="14"/>
      <c r="K16" s="14"/>
    </row>
    <row r="17" spans="1:11" x14ac:dyDescent="0.25">
      <c r="B17" s="16">
        <v>42217</v>
      </c>
      <c r="C17" s="15">
        <v>339789.42380000104</v>
      </c>
      <c r="D17" s="15">
        <v>-280976.26391999918</v>
      </c>
      <c r="F17" s="14"/>
      <c r="G17" s="14"/>
      <c r="H17" s="25"/>
      <c r="I17" s="25"/>
      <c r="J17" s="14"/>
      <c r="K17" s="14"/>
    </row>
    <row r="18" spans="1:11" x14ac:dyDescent="0.25">
      <c r="F18" s="14"/>
      <c r="G18" s="14"/>
      <c r="H18" s="14"/>
      <c r="I18" s="14"/>
      <c r="J18" s="14"/>
      <c r="K18" s="14"/>
    </row>
    <row r="19" spans="1:11" x14ac:dyDescent="0.25">
      <c r="C19" s="15">
        <v>1177813.3643374995</v>
      </c>
      <c r="D19" s="15">
        <v>-1028197.6567199966</v>
      </c>
      <c r="E19" s="14">
        <v>149615.70761750289</v>
      </c>
      <c r="F19" s="14"/>
      <c r="G19" s="14"/>
      <c r="H19" s="14"/>
      <c r="I19" s="14"/>
      <c r="J19" s="14"/>
      <c r="K19" s="14"/>
    </row>
    <row r="20" spans="1:11" x14ac:dyDescent="0.25">
      <c r="F20" s="14"/>
      <c r="G20" s="14"/>
      <c r="H20" s="14"/>
      <c r="I20" s="14"/>
      <c r="J20" s="14"/>
      <c r="K20" s="14"/>
    </row>
    <row r="21" spans="1:11" x14ac:dyDescent="0.25">
      <c r="A21" t="s">
        <v>24</v>
      </c>
      <c r="B21" s="4">
        <v>41944</v>
      </c>
      <c r="C21" s="15">
        <v>612673.14883749909</v>
      </c>
      <c r="D21" s="15">
        <v>-378674.92115250183</v>
      </c>
      <c r="F21" s="14"/>
      <c r="G21" s="14"/>
      <c r="H21" s="25"/>
      <c r="I21" s="25"/>
      <c r="J21" s="25"/>
      <c r="K21" s="25"/>
    </row>
    <row r="22" spans="1:11" x14ac:dyDescent="0.25">
      <c r="B22" s="4">
        <v>42125</v>
      </c>
      <c r="C22" s="15">
        <v>669502.40700000082</v>
      </c>
      <c r="D22" s="15">
        <v>-417831.43822500034</v>
      </c>
      <c r="F22" s="14"/>
      <c r="G22" s="14"/>
      <c r="H22" s="25"/>
      <c r="I22" s="25"/>
      <c r="J22" s="14"/>
      <c r="K22" s="14"/>
    </row>
    <row r="23" spans="1:11" x14ac:dyDescent="0.25">
      <c r="B23" s="4">
        <v>42217</v>
      </c>
      <c r="C23" s="15">
        <v>502808.04875000007</v>
      </c>
      <c r="D23" s="15">
        <v>-246425.7571125</v>
      </c>
      <c r="F23" s="14"/>
      <c r="G23" s="14"/>
      <c r="H23" s="25"/>
      <c r="I23" s="25"/>
      <c r="J23" s="14"/>
      <c r="K23" s="14"/>
    </row>
    <row r="24" spans="1:11" x14ac:dyDescent="0.25">
      <c r="B24" s="2"/>
      <c r="F24" s="14"/>
      <c r="G24" s="14"/>
      <c r="H24" s="14"/>
      <c r="I24" s="14"/>
      <c r="J24" s="14"/>
      <c r="K24" s="14"/>
    </row>
    <row r="25" spans="1:11" x14ac:dyDescent="0.25">
      <c r="B25" s="2"/>
      <c r="C25" s="15">
        <v>1784983.6045875</v>
      </c>
      <c r="D25" s="15">
        <v>-1042932.1164900023</v>
      </c>
      <c r="E25" s="14">
        <v>742051.48809749773</v>
      </c>
      <c r="F25" s="14"/>
      <c r="G25" s="14"/>
      <c r="H25" s="14"/>
      <c r="I25" s="14"/>
      <c r="J25" s="14"/>
      <c r="K25" s="14"/>
    </row>
    <row r="26" spans="1:11" x14ac:dyDescent="0.25">
      <c r="F26" s="14"/>
      <c r="G26" s="14"/>
      <c r="H26" s="14"/>
      <c r="I26" s="14"/>
      <c r="J26" s="14"/>
      <c r="K26" s="14"/>
    </row>
    <row r="27" spans="1:11" x14ac:dyDescent="0.25">
      <c r="A27" t="s">
        <v>23</v>
      </c>
      <c r="B27" s="16">
        <v>41944</v>
      </c>
      <c r="C27" s="15">
        <v>910616.4962124984</v>
      </c>
      <c r="D27" s="15">
        <v>-789667.56318750139</v>
      </c>
      <c r="F27" s="32">
        <f t="shared" si="7"/>
        <v>120948.93302499701</v>
      </c>
      <c r="G27" s="14">
        <f>F27-F3</f>
        <v>123842.00302500278</v>
      </c>
      <c r="H27" s="25">
        <f>100*G27/4070000</f>
        <v>3.0428010571253754</v>
      </c>
      <c r="I27" s="25">
        <f>4.07*(100-H27)/100</f>
        <v>3.9461579969749976</v>
      </c>
      <c r="J27" s="25"/>
      <c r="K27" s="25"/>
    </row>
    <row r="28" spans="1:11" x14ac:dyDescent="0.25">
      <c r="B28" s="16">
        <v>42125</v>
      </c>
      <c r="C28" s="15">
        <v>1209583.0001625</v>
      </c>
      <c r="D28" s="15">
        <v>-754060.18898999831</v>
      </c>
      <c r="F28" s="14">
        <f t="shared" si="7"/>
        <v>455522.81117250165</v>
      </c>
      <c r="G28" s="14">
        <f t="shared" ref="G28:G29" si="12">F28-F4</f>
        <v>125397.01117250929</v>
      </c>
      <c r="H28" s="25">
        <f>100*G28/3090000</f>
        <v>4.0581557013757052</v>
      </c>
      <c r="I28" s="25">
        <f>3.09*(100-H28)/100</f>
        <v>2.9646029888274903</v>
      </c>
      <c r="J28" s="14"/>
      <c r="K28" s="14"/>
    </row>
    <row r="29" spans="1:11" x14ac:dyDescent="0.25">
      <c r="B29" s="16">
        <v>42217</v>
      </c>
      <c r="C29" s="15">
        <v>842597.47255000111</v>
      </c>
      <c r="D29" s="15">
        <v>-527402.02103249915</v>
      </c>
      <c r="F29" s="14">
        <f t="shared" si="7"/>
        <v>315195.45151750196</v>
      </c>
      <c r="G29" s="14">
        <f t="shared" si="12"/>
        <v>92824.331517501152</v>
      </c>
      <c r="H29" s="25">
        <f>100*G29/2560000</f>
        <v>3.6259504499023891</v>
      </c>
      <c r="I29" s="25">
        <f>2.56*(100-H29)/100</f>
        <v>2.4671756684824988</v>
      </c>
      <c r="J29" s="14"/>
      <c r="K29" s="14"/>
    </row>
    <row r="30" spans="1:11" x14ac:dyDescent="0.25">
      <c r="F30" s="14"/>
      <c r="G30" s="14"/>
      <c r="H30" s="14"/>
      <c r="I30" s="14"/>
      <c r="J30" s="14"/>
      <c r="K30" s="14"/>
    </row>
    <row r="31" spans="1:11" x14ac:dyDescent="0.25">
      <c r="C31" s="15">
        <v>2962796.9689249992</v>
      </c>
      <c r="D31" s="15">
        <v>-2071129.7732099988</v>
      </c>
      <c r="E31" s="15">
        <v>891667.19571500039</v>
      </c>
      <c r="F31" s="14"/>
      <c r="G31" s="14"/>
      <c r="H31" s="14"/>
      <c r="I31" s="14"/>
      <c r="J31" s="14"/>
      <c r="K31" s="14"/>
    </row>
    <row r="32" spans="1:11" x14ac:dyDescent="0.25">
      <c r="F32" s="14"/>
      <c r="G32" s="14"/>
      <c r="H32" s="14"/>
      <c r="I32" s="14"/>
      <c r="J32" s="14"/>
      <c r="K32" s="14"/>
    </row>
    <row r="33" spans="1:11" x14ac:dyDescent="0.25">
      <c r="F33" s="14"/>
      <c r="G33" s="14"/>
      <c r="H33" s="14"/>
      <c r="I33" s="14"/>
      <c r="J33" s="14"/>
      <c r="K33" s="14"/>
    </row>
    <row r="34" spans="1:11" x14ac:dyDescent="0.25">
      <c r="A34" t="s">
        <v>38</v>
      </c>
      <c r="B34" s="16">
        <v>41944</v>
      </c>
      <c r="C34" s="15">
        <v>1082767.930537499</v>
      </c>
      <c r="D34" s="15">
        <v>-896069.20808250376</v>
      </c>
      <c r="F34" s="32">
        <f t="shared" si="7"/>
        <v>186698.72245499527</v>
      </c>
      <c r="G34" s="14">
        <f>F34-F3</f>
        <v>189591.79245500104</v>
      </c>
      <c r="H34" s="25">
        <f>100*G34/4070000</f>
        <v>4.6582749988943739</v>
      </c>
      <c r="I34" s="25">
        <f>4.07*(100-H34)/100</f>
        <v>3.880408207544999</v>
      </c>
      <c r="J34" s="25"/>
      <c r="K34" s="25"/>
    </row>
    <row r="35" spans="1:11" x14ac:dyDescent="0.25">
      <c r="B35" s="16">
        <v>42125</v>
      </c>
      <c r="C35" s="15">
        <v>1270490.2262625035</v>
      </c>
      <c r="D35" s="15">
        <v>-792071.9326574998</v>
      </c>
      <c r="F35" s="14">
        <f t="shared" si="7"/>
        <v>478418.29360500374</v>
      </c>
      <c r="G35" s="14">
        <f t="shared" ref="G35:G36" si="13">F35-F4</f>
        <v>148292.49360501138</v>
      </c>
      <c r="H35" s="25">
        <f>100*G35/3090000</f>
        <v>4.7991098254048987</v>
      </c>
      <c r="I35" s="25">
        <f>3.09*(100-H35)/100</f>
        <v>2.9417075063949887</v>
      </c>
      <c r="J35" s="14"/>
      <c r="K35" s="14"/>
    </row>
    <row r="36" spans="1:11" x14ac:dyDescent="0.25">
      <c r="B36" s="16">
        <v>42217</v>
      </c>
      <c r="C36" s="15">
        <v>920529.5418000007</v>
      </c>
      <c r="D36" s="15">
        <v>-565596.45570000086</v>
      </c>
      <c r="F36" s="14">
        <f t="shared" si="7"/>
        <v>354933.08609999984</v>
      </c>
      <c r="G36" s="14">
        <f t="shared" si="13"/>
        <v>132561.96609999903</v>
      </c>
      <c r="H36" s="25">
        <f>100*G36/2560000</f>
        <v>5.1782018007812116</v>
      </c>
      <c r="I36" s="25">
        <f>2.56*(100-H36)/100</f>
        <v>2.427438033900001</v>
      </c>
      <c r="J36" s="14"/>
      <c r="K36" s="14"/>
    </row>
    <row r="37" spans="1:11" x14ac:dyDescent="0.25">
      <c r="F37" s="14"/>
      <c r="G37" s="14"/>
      <c r="H37" s="14"/>
      <c r="I37" s="14"/>
      <c r="J37" s="14"/>
      <c r="K37" s="14"/>
    </row>
    <row r="38" spans="1:11" x14ac:dyDescent="0.25">
      <c r="C38" s="15">
        <v>3273787.6986000035</v>
      </c>
      <c r="D38" s="15">
        <v>-2253737.5964400042</v>
      </c>
      <c r="E38" s="14">
        <v>1020050.1021599993</v>
      </c>
      <c r="F38" s="14"/>
      <c r="G38" s="14"/>
      <c r="H38" s="14"/>
      <c r="I38" s="14"/>
      <c r="J38" s="14"/>
      <c r="K38" s="14"/>
    </row>
    <row r="39" spans="1:11" x14ac:dyDescent="0.25">
      <c r="F39" s="14"/>
      <c r="G39" s="14"/>
      <c r="H39" s="14"/>
      <c r="I39" s="14"/>
      <c r="J39" s="14"/>
      <c r="K39" s="14"/>
    </row>
    <row r="40" spans="1:11" x14ac:dyDescent="0.25">
      <c r="A40" t="s">
        <v>22</v>
      </c>
      <c r="B40" s="16">
        <v>41944</v>
      </c>
      <c r="C40" s="15">
        <v>742819.50102500396</v>
      </c>
      <c r="D40" s="15">
        <v>-745885.98914750398</v>
      </c>
      <c r="F40" s="14"/>
      <c r="G40" s="14"/>
      <c r="H40" s="25"/>
      <c r="I40" s="25"/>
      <c r="J40" s="25"/>
      <c r="K40" s="25"/>
    </row>
    <row r="41" spans="1:11" x14ac:dyDescent="0.25">
      <c r="B41" s="16">
        <v>42125</v>
      </c>
      <c r="C41" s="15">
        <v>1013624.9995299992</v>
      </c>
      <c r="D41" s="15">
        <v>-682734.95447000605</v>
      </c>
      <c r="F41" s="14"/>
      <c r="G41" s="14"/>
      <c r="H41" s="25"/>
      <c r="I41" s="25"/>
      <c r="J41" s="14"/>
      <c r="K41" s="14"/>
    </row>
    <row r="42" spans="1:11" x14ac:dyDescent="0.25">
      <c r="B42" s="16">
        <v>42217</v>
      </c>
      <c r="C42" s="15">
        <v>737194.09443999035</v>
      </c>
      <c r="D42" s="15">
        <v>-514808.05502749793</v>
      </c>
      <c r="F42" s="14"/>
      <c r="G42" s="14"/>
      <c r="H42" s="25"/>
      <c r="I42" s="25"/>
      <c r="J42" s="14"/>
      <c r="K42" s="14"/>
    </row>
    <row r="44" spans="1:11" x14ac:dyDescent="0.25">
      <c r="C44" s="15">
        <v>2493638.5949949934</v>
      </c>
      <c r="D44" s="15">
        <v>-1943428.9986450081</v>
      </c>
      <c r="E44" s="14">
        <v>550209.59634998534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4"/>
  <sheetViews>
    <sheetView workbookViewId="0">
      <selection activeCell="J6" sqref="J6"/>
    </sheetView>
  </sheetViews>
  <sheetFormatPr defaultRowHeight="15" x14ac:dyDescent="0.25"/>
  <cols>
    <col min="1" max="1" width="28.85546875" bestFit="1" customWidth="1"/>
    <col min="3" max="3" width="11.7109375" style="2" bestFit="1" customWidth="1"/>
    <col min="4" max="4" width="14" style="2" bestFit="1" customWidth="1"/>
    <col min="8" max="8" width="18.5703125" bestFit="1" customWidth="1"/>
    <col min="9" max="9" width="17.42578125" bestFit="1" customWidth="1"/>
    <col min="10" max="11" width="15.28515625" customWidth="1"/>
    <col min="15" max="15" width="10.5703125" bestFit="1" customWidth="1"/>
    <col min="22" max="24" width="12.5703125" bestFit="1" customWidth="1"/>
  </cols>
  <sheetData>
    <row r="2" spans="1:24" x14ac:dyDescent="0.25">
      <c r="C2" s="17" t="s">
        <v>29</v>
      </c>
      <c r="D2" s="17" t="s">
        <v>28</v>
      </c>
      <c r="E2" s="17" t="s">
        <v>39</v>
      </c>
      <c r="F2" s="17" t="s">
        <v>40</v>
      </c>
      <c r="G2" s="17"/>
      <c r="H2" s="17" t="s">
        <v>41</v>
      </c>
      <c r="I2" s="17" t="s">
        <v>42</v>
      </c>
      <c r="J2" s="17"/>
      <c r="K2" s="17"/>
      <c r="M2" s="18" t="s">
        <v>32</v>
      </c>
      <c r="P2" s="18" t="s">
        <v>33</v>
      </c>
      <c r="S2" s="18" t="s">
        <v>34</v>
      </c>
    </row>
    <row r="3" spans="1:24" x14ac:dyDescent="0.25">
      <c r="A3" t="s">
        <v>27</v>
      </c>
      <c r="B3" s="16">
        <v>41944</v>
      </c>
      <c r="C3" s="15">
        <v>1397074.7600000012</v>
      </c>
      <c r="D3" s="15">
        <v>-746334.5400000012</v>
      </c>
      <c r="F3" s="14">
        <f>C3+D3</f>
        <v>650740.22</v>
      </c>
      <c r="G3" s="14"/>
      <c r="H3" s="14"/>
      <c r="I3" s="14"/>
      <c r="J3" s="14"/>
      <c r="K3" s="14"/>
      <c r="M3" s="14" t="s">
        <v>30</v>
      </c>
      <c r="N3" t="s">
        <v>31</v>
      </c>
      <c r="O3" t="s">
        <v>37</v>
      </c>
      <c r="P3" s="14" t="s">
        <v>30</v>
      </c>
      <c r="Q3" t="s">
        <v>31</v>
      </c>
      <c r="R3" t="s">
        <v>37</v>
      </c>
      <c r="S3" s="14" t="s">
        <v>30</v>
      </c>
      <c r="T3" t="s">
        <v>31</v>
      </c>
      <c r="U3" t="s">
        <v>37</v>
      </c>
      <c r="V3" s="16" t="str">
        <f>M2</f>
        <v>Nov 14</v>
      </c>
      <c r="W3" s="16" t="str">
        <f>S2</f>
        <v>Aug 15</v>
      </c>
      <c r="X3" s="16" t="str">
        <f>P2</f>
        <v>May 15</v>
      </c>
    </row>
    <row r="4" spans="1:24" x14ac:dyDescent="0.25">
      <c r="B4" s="16">
        <v>42125</v>
      </c>
      <c r="C4" s="15">
        <v>1592996.8199999919</v>
      </c>
      <c r="D4" s="15">
        <v>-685136.49000000162</v>
      </c>
      <c r="F4" s="14">
        <f t="shared" ref="F4:F42" si="0">C4+D4</f>
        <v>907860.3299999903</v>
      </c>
      <c r="G4" s="14"/>
      <c r="H4" s="14"/>
      <c r="I4" s="14"/>
      <c r="J4" s="14">
        <v>10686366.709999993</v>
      </c>
      <c r="K4" s="14"/>
      <c r="L4" t="s">
        <v>35</v>
      </c>
      <c r="M4" s="14">
        <f>C3</f>
        <v>1397074.7600000012</v>
      </c>
      <c r="N4" s="14">
        <f>D3</f>
        <v>-746334.5400000012</v>
      </c>
      <c r="O4" s="23">
        <f>(M4+N4)/1000</f>
        <v>650.74022000000002</v>
      </c>
      <c r="P4" s="14">
        <f>C4</f>
        <v>1592996.8199999919</v>
      </c>
      <c r="Q4" s="14">
        <f>D4</f>
        <v>-685136.49000000162</v>
      </c>
      <c r="R4" s="23">
        <f>(P4+Q4)/1000</f>
        <v>907.86032999999031</v>
      </c>
      <c r="S4" s="14">
        <f>C5</f>
        <v>1225326.5600000054</v>
      </c>
      <c r="T4" s="14">
        <f>D5</f>
        <v>-521907.6800000018</v>
      </c>
      <c r="U4" s="23">
        <f>(S4+T4)/1000</f>
        <v>703.41888000000358</v>
      </c>
      <c r="V4" s="22">
        <f>O4</f>
        <v>650.74022000000002</v>
      </c>
      <c r="W4" s="22">
        <f>R4</f>
        <v>907.86032999999031</v>
      </c>
      <c r="X4" s="22">
        <f>U4</f>
        <v>703.41888000000358</v>
      </c>
    </row>
    <row r="5" spans="1:24" x14ac:dyDescent="0.25">
      <c r="B5" s="16">
        <v>42217</v>
      </c>
      <c r="C5" s="15">
        <v>1225326.5600000054</v>
      </c>
      <c r="D5" s="15">
        <v>-521907.6800000018</v>
      </c>
      <c r="F5" s="14">
        <f t="shared" si="0"/>
        <v>703418.88000000361</v>
      </c>
      <c r="G5" s="14"/>
      <c r="H5" s="14"/>
      <c r="I5" s="14"/>
      <c r="J5" s="14">
        <v>12222265.470000003</v>
      </c>
      <c r="K5" s="14"/>
      <c r="L5" t="s">
        <v>0</v>
      </c>
      <c r="M5" s="14">
        <f>C9</f>
        <v>1561956.9591999925</v>
      </c>
      <c r="N5" s="14">
        <f>D9</f>
        <v>-765393.69776999636</v>
      </c>
      <c r="O5" s="23">
        <f t="shared" ref="O5:O8" si="1">(M5+N5)/1000</f>
        <v>796.56326142999615</v>
      </c>
      <c r="P5" s="14">
        <f>C10</f>
        <v>1752555.8532000075</v>
      </c>
      <c r="Q5" s="14">
        <f>D10</f>
        <v>-737906.86404000502</v>
      </c>
      <c r="R5" s="23">
        <f t="shared" ref="R5:R8" si="2">(P5+Q5)/1000</f>
        <v>1014.6489891600024</v>
      </c>
      <c r="S5" s="14">
        <f>C11</f>
        <v>1314713.2373250036</v>
      </c>
      <c r="T5" s="14">
        <f>D11</f>
        <v>-520435.04308499891</v>
      </c>
      <c r="U5" s="23">
        <f t="shared" ref="U5:U8" si="3">(S5+T5)/1000</f>
        <v>794.27819424000472</v>
      </c>
      <c r="V5" s="22">
        <f t="shared" ref="V5:V8" si="4">O5</f>
        <v>796.56326142999615</v>
      </c>
      <c r="W5" s="22">
        <f t="shared" ref="W5:W7" si="5">R5</f>
        <v>1014.6489891600024</v>
      </c>
      <c r="X5" s="22">
        <f t="shared" ref="X5:X8" si="6">U5</f>
        <v>794.27819424000472</v>
      </c>
    </row>
    <row r="6" spans="1:24" x14ac:dyDescent="0.25">
      <c r="C6" s="15"/>
      <c r="D6" s="15"/>
      <c r="F6" s="14"/>
      <c r="G6" s="14"/>
      <c r="H6" s="14"/>
      <c r="I6" s="14"/>
      <c r="J6" s="14">
        <v>12358952.239999996</v>
      </c>
      <c r="K6" s="14"/>
      <c r="L6" t="s">
        <v>5</v>
      </c>
      <c r="M6" s="14">
        <f>C27</f>
        <v>1625527.4173999988</v>
      </c>
      <c r="N6" s="14">
        <f>D27</f>
        <v>-790068.48501749849</v>
      </c>
      <c r="O6" s="23">
        <f t="shared" si="1"/>
        <v>835.45893238250028</v>
      </c>
      <c r="P6" s="14">
        <f>C28</f>
        <v>1815434.4438750008</v>
      </c>
      <c r="Q6" s="14">
        <f>D28</f>
        <v>-755322.27525000065</v>
      </c>
      <c r="R6" s="23">
        <f t="shared" si="2"/>
        <v>1060.1121686250001</v>
      </c>
      <c r="S6" s="14">
        <f>C29</f>
        <v>1358877.1453750026</v>
      </c>
      <c r="T6" s="14">
        <f>D29</f>
        <v>-534009.80201249896</v>
      </c>
      <c r="U6" s="23">
        <f t="shared" si="3"/>
        <v>824.86734336250368</v>
      </c>
      <c r="V6" s="22">
        <f t="shared" si="4"/>
        <v>835.45893238250028</v>
      </c>
      <c r="W6" s="22">
        <f t="shared" si="5"/>
        <v>1060.1121686250001</v>
      </c>
      <c r="X6" s="22">
        <f t="shared" si="6"/>
        <v>824.86734336250368</v>
      </c>
    </row>
    <row r="7" spans="1:24" x14ac:dyDescent="0.25">
      <c r="C7" s="15">
        <v>4215398.1399999987</v>
      </c>
      <c r="D7" s="15">
        <v>-1953378.7100000046</v>
      </c>
      <c r="E7" s="14">
        <v>2262019.4299999941</v>
      </c>
      <c r="F7" s="14"/>
      <c r="G7" s="14"/>
      <c r="H7" s="14"/>
      <c r="I7" s="14"/>
      <c r="J7" s="14"/>
      <c r="K7" s="14"/>
      <c r="L7" t="s">
        <v>21</v>
      </c>
      <c r="M7" s="14">
        <f>C34</f>
        <v>1829617.79220001</v>
      </c>
      <c r="N7" s="14">
        <f>D34</f>
        <v>-896553.46725749713</v>
      </c>
      <c r="O7" s="23">
        <f t="shared" si="1"/>
        <v>933.06432494251294</v>
      </c>
      <c r="P7" s="14">
        <f>C35</f>
        <v>1884243.6876749962</v>
      </c>
      <c r="Q7" s="14">
        <f>D35</f>
        <v>-793353.51744749222</v>
      </c>
      <c r="R7" s="23">
        <f t="shared" si="2"/>
        <v>1090.8901702275039</v>
      </c>
      <c r="S7" s="14">
        <f>C36</f>
        <v>1446089.5902000107</v>
      </c>
      <c r="T7" s="14">
        <f>D36</f>
        <v>-572440.95276000036</v>
      </c>
      <c r="U7" s="23">
        <f t="shared" si="3"/>
        <v>873.64863744001036</v>
      </c>
      <c r="V7" s="22">
        <f t="shared" si="4"/>
        <v>933.06432494251294</v>
      </c>
      <c r="W7" s="22">
        <f t="shared" si="5"/>
        <v>1090.8901702275039</v>
      </c>
      <c r="X7" s="22">
        <f t="shared" si="6"/>
        <v>873.64863744001036</v>
      </c>
    </row>
    <row r="8" spans="1:24" x14ac:dyDescent="0.25">
      <c r="F8" s="14"/>
      <c r="G8" s="14"/>
      <c r="H8" s="14"/>
      <c r="I8" s="14"/>
      <c r="J8" s="14"/>
      <c r="K8" s="14"/>
      <c r="L8" t="s">
        <v>36</v>
      </c>
      <c r="M8" s="14">
        <f>C40</f>
        <v>1396448.4639625028</v>
      </c>
      <c r="N8" s="14">
        <f>D40</f>
        <v>-746365.94625500613</v>
      </c>
      <c r="O8" s="23">
        <f t="shared" si="1"/>
        <v>650.08251770749666</v>
      </c>
      <c r="P8" s="14">
        <f>C41</f>
        <v>1592680.2434924974</v>
      </c>
      <c r="Q8" s="14">
        <f>D41</f>
        <v>-684051.10124499793</v>
      </c>
      <c r="R8" s="23">
        <f t="shared" si="2"/>
        <v>908.62914224749943</v>
      </c>
      <c r="S8" s="14">
        <f>C42</f>
        <v>1225361.2652375016</v>
      </c>
      <c r="T8" s="14">
        <f>D42</f>
        <v>-521921.89182500029</v>
      </c>
      <c r="U8" s="23">
        <f t="shared" si="3"/>
        <v>703.43937341250125</v>
      </c>
      <c r="V8" s="22">
        <f t="shared" si="4"/>
        <v>650.08251770749666</v>
      </c>
      <c r="W8" s="22">
        <f>R8</f>
        <v>908.62914224749943</v>
      </c>
      <c r="X8" s="22">
        <f t="shared" si="6"/>
        <v>703.43937341250125</v>
      </c>
    </row>
    <row r="9" spans="1:24" x14ac:dyDescent="0.25">
      <c r="A9" t="s">
        <v>26</v>
      </c>
      <c r="B9" s="16">
        <v>41944</v>
      </c>
      <c r="C9" s="15">
        <v>1561956.9591999925</v>
      </c>
      <c r="D9" s="15">
        <v>-765393.69776999636</v>
      </c>
      <c r="F9" s="32">
        <f>C9+D9</f>
        <v>796563.26142999611</v>
      </c>
      <c r="G9" s="14">
        <f>F9-F3</f>
        <v>145823.04142999614</v>
      </c>
      <c r="H9" s="25">
        <f>100*G9/J4</f>
        <v>1.3645708161365935</v>
      </c>
      <c r="I9" s="25">
        <f>10.69*(100-H9)/100</f>
        <v>10.544127379754999</v>
      </c>
      <c r="J9" s="25"/>
      <c r="K9" s="25"/>
    </row>
    <row r="10" spans="1:24" x14ac:dyDescent="0.25">
      <c r="B10" s="16">
        <v>42125</v>
      </c>
      <c r="C10" s="15">
        <v>1752555.8532000075</v>
      </c>
      <c r="D10" s="15">
        <v>-737906.86404000502</v>
      </c>
      <c r="F10" s="32">
        <f t="shared" si="0"/>
        <v>1014648.9891600024</v>
      </c>
      <c r="G10" s="14">
        <f t="shared" ref="G10:G11" si="7">F10-F4</f>
        <v>106788.65916001215</v>
      </c>
      <c r="H10" s="25">
        <f>100*G10/J5</f>
        <v>0.87372230150072283</v>
      </c>
      <c r="I10" s="25">
        <f>12.22*(100-H10)/100</f>
        <v>12.113231134756614</v>
      </c>
      <c r="J10" s="14"/>
      <c r="K10" s="14"/>
      <c r="L10" t="s">
        <v>0</v>
      </c>
      <c r="V10" s="24">
        <f>V5-$V$4</f>
        <v>145.82304142999612</v>
      </c>
      <c r="W10" s="24">
        <f>W5-$W$4</f>
        <v>106.78865916001212</v>
      </c>
      <c r="X10" s="24">
        <f>X5-$X$4</f>
        <v>90.85931424000114</v>
      </c>
    </row>
    <row r="11" spans="1:24" x14ac:dyDescent="0.25">
      <c r="B11" s="16">
        <v>42217</v>
      </c>
      <c r="C11" s="15">
        <v>1314713.2373250036</v>
      </c>
      <c r="D11" s="15">
        <v>-520435.04308499891</v>
      </c>
      <c r="F11" s="32">
        <f t="shared" si="0"/>
        <v>794278.19424000476</v>
      </c>
      <c r="G11" s="14">
        <f t="shared" si="7"/>
        <v>90859.314240001142</v>
      </c>
      <c r="H11" s="25">
        <f>100*G11/J6</f>
        <v>0.73517004091927107</v>
      </c>
      <c r="I11" s="25">
        <f>12.26*(100-H11)/100</f>
        <v>12.169868152983296</v>
      </c>
      <c r="J11" s="14"/>
      <c r="K11" s="14"/>
      <c r="L11" t="s">
        <v>5</v>
      </c>
      <c r="V11" s="24">
        <f t="shared" ref="V11:V13" si="8">V6-$V$4</f>
        <v>184.71871238250026</v>
      </c>
      <c r="W11" s="24">
        <f t="shared" ref="W11:W13" si="9">W6-$W$4</f>
        <v>152.25183862500978</v>
      </c>
      <c r="X11" s="24">
        <f t="shared" ref="X11:X12" si="10">X6-$X$4</f>
        <v>121.44846336250009</v>
      </c>
    </row>
    <row r="12" spans="1:24" x14ac:dyDescent="0.25">
      <c r="F12" s="32"/>
      <c r="G12" s="14"/>
      <c r="H12" s="14"/>
      <c r="I12" s="14"/>
      <c r="J12" s="14"/>
      <c r="K12" s="14"/>
      <c r="L12" t="s">
        <v>21</v>
      </c>
      <c r="V12" s="24">
        <f t="shared" si="8"/>
        <v>282.32410494251292</v>
      </c>
      <c r="W12" s="24">
        <f t="shared" si="9"/>
        <v>183.02984022751355</v>
      </c>
      <c r="X12" s="24">
        <f t="shared" si="10"/>
        <v>170.22975744000678</v>
      </c>
    </row>
    <row r="13" spans="1:24" x14ac:dyDescent="0.25">
      <c r="C13" s="15">
        <v>4629226.0497250035</v>
      </c>
      <c r="D13" s="15">
        <v>-2023735.6048950001</v>
      </c>
      <c r="E13" s="14">
        <v>2605490.4448300032</v>
      </c>
      <c r="F13" s="32"/>
      <c r="G13" s="14"/>
      <c r="H13" s="14"/>
      <c r="I13" s="14"/>
      <c r="J13" s="14"/>
      <c r="K13" s="14"/>
      <c r="L13" t="s">
        <v>36</v>
      </c>
      <c r="V13" s="24">
        <f t="shared" si="8"/>
        <v>-0.65770229250335888</v>
      </c>
      <c r="W13" s="24">
        <f t="shared" si="9"/>
        <v>0.7688122475091177</v>
      </c>
      <c r="X13" s="24">
        <f>X8-$X$4</f>
        <v>2.049341249767167E-2</v>
      </c>
    </row>
    <row r="14" spans="1:24" x14ac:dyDescent="0.25">
      <c r="F14" s="32"/>
      <c r="G14" s="14"/>
      <c r="H14" s="14"/>
      <c r="I14" s="14"/>
      <c r="J14" s="14"/>
      <c r="K14" s="14"/>
      <c r="V14" s="24"/>
    </row>
    <row r="15" spans="1:24" x14ac:dyDescent="0.25">
      <c r="A15" t="s">
        <v>25</v>
      </c>
      <c r="B15" s="16">
        <v>41944</v>
      </c>
      <c r="C15" s="15">
        <v>899186.14079999772</v>
      </c>
      <c r="D15" s="15">
        <v>-411096.97293749853</v>
      </c>
      <c r="F15" s="32"/>
      <c r="G15" s="14"/>
      <c r="H15" s="25"/>
      <c r="I15" s="25"/>
      <c r="J15" s="14"/>
      <c r="K15" s="14"/>
      <c r="V15" s="24"/>
    </row>
    <row r="16" spans="1:24" x14ac:dyDescent="0.25">
      <c r="B16" s="16">
        <v>42125</v>
      </c>
      <c r="C16" s="15">
        <v>1059071.737875001</v>
      </c>
      <c r="D16" s="15">
        <v>-337276.50592499867</v>
      </c>
      <c r="F16" s="32"/>
      <c r="G16" s="14"/>
      <c r="H16" s="25"/>
      <c r="I16" s="25"/>
      <c r="J16" s="14"/>
      <c r="K16" s="14"/>
    </row>
    <row r="17" spans="1:11" x14ac:dyDescent="0.25">
      <c r="B17" s="16">
        <v>42217</v>
      </c>
      <c r="C17" s="15">
        <v>796193.26400000066</v>
      </c>
      <c r="D17" s="15">
        <v>-286056.78209999908</v>
      </c>
      <c r="F17" s="32"/>
      <c r="G17" s="14"/>
      <c r="H17" s="25"/>
      <c r="I17" s="25"/>
      <c r="J17" s="14"/>
      <c r="K17" s="14"/>
    </row>
    <row r="18" spans="1:11" x14ac:dyDescent="0.25">
      <c r="F18" s="32"/>
      <c r="G18" s="14"/>
      <c r="H18" s="14"/>
      <c r="I18" s="14"/>
      <c r="J18" s="14"/>
      <c r="K18" s="14"/>
    </row>
    <row r="19" spans="1:11" x14ac:dyDescent="0.25">
      <c r="C19" s="15">
        <v>2754451.1426749993</v>
      </c>
      <c r="D19" s="15">
        <v>-1034430.2609624963</v>
      </c>
      <c r="E19" s="14">
        <v>1720020.881712503</v>
      </c>
      <c r="F19" s="32"/>
      <c r="G19" s="14"/>
      <c r="H19" s="14"/>
      <c r="I19" s="14"/>
      <c r="J19" s="14"/>
      <c r="K19" s="14"/>
    </row>
    <row r="20" spans="1:11" x14ac:dyDescent="0.25">
      <c r="F20" s="32"/>
      <c r="G20" s="14"/>
      <c r="H20" s="14"/>
      <c r="I20" s="14"/>
      <c r="J20" s="14"/>
      <c r="K20" s="14"/>
    </row>
    <row r="21" spans="1:11" x14ac:dyDescent="0.25">
      <c r="A21" t="s">
        <v>24</v>
      </c>
      <c r="B21" s="4">
        <v>41944</v>
      </c>
      <c r="C21" s="15">
        <v>726341.27660000091</v>
      </c>
      <c r="D21" s="15">
        <v>-378971.5120799999</v>
      </c>
      <c r="F21" s="32"/>
      <c r="G21" s="14"/>
      <c r="H21" s="25"/>
      <c r="I21" s="25"/>
      <c r="J21" s="14"/>
      <c r="K21" s="14"/>
    </row>
    <row r="22" spans="1:11" x14ac:dyDescent="0.25">
      <c r="B22" s="4">
        <v>42125</v>
      </c>
      <c r="C22" s="15">
        <v>756362.70599999966</v>
      </c>
      <c r="D22" s="15">
        <v>-418045.76932500198</v>
      </c>
      <c r="F22" s="32"/>
      <c r="G22" s="14"/>
      <c r="H22" s="25"/>
      <c r="I22" s="25"/>
      <c r="J22" s="14"/>
      <c r="K22" s="14"/>
    </row>
    <row r="23" spans="1:11" x14ac:dyDescent="0.25">
      <c r="B23" s="4">
        <v>42217</v>
      </c>
      <c r="C23" s="15">
        <v>562683.88137500198</v>
      </c>
      <c r="D23" s="15">
        <v>-247953.01991249985</v>
      </c>
      <c r="F23" s="32"/>
      <c r="G23" s="14"/>
      <c r="H23" s="25"/>
      <c r="I23" s="25"/>
      <c r="J23" s="14"/>
      <c r="K23" s="14"/>
    </row>
    <row r="24" spans="1:11" x14ac:dyDescent="0.25">
      <c r="B24" s="2"/>
      <c r="F24" s="32"/>
      <c r="G24" s="14"/>
      <c r="H24" s="14"/>
      <c r="I24" s="14"/>
      <c r="J24" s="14"/>
      <c r="K24" s="14"/>
    </row>
    <row r="25" spans="1:11" x14ac:dyDescent="0.25">
      <c r="B25" s="2"/>
      <c r="C25" s="15">
        <v>2045387.8639750027</v>
      </c>
      <c r="D25" s="15">
        <v>-1044970.3013175017</v>
      </c>
      <c r="E25" s="14">
        <v>1000417.562657501</v>
      </c>
      <c r="F25" s="32"/>
      <c r="G25" s="14"/>
      <c r="H25" s="14"/>
      <c r="I25" s="14"/>
      <c r="J25" s="14"/>
      <c r="K25" s="14"/>
    </row>
    <row r="26" spans="1:11" x14ac:dyDescent="0.25">
      <c r="F26" s="32"/>
      <c r="G26" s="14"/>
      <c r="H26" s="14"/>
      <c r="I26" s="14"/>
      <c r="J26" s="14"/>
      <c r="K26" s="14"/>
    </row>
    <row r="27" spans="1:11" x14ac:dyDescent="0.25">
      <c r="A27" t="s">
        <v>23</v>
      </c>
      <c r="B27" s="16">
        <v>41944</v>
      </c>
      <c r="C27" s="15">
        <v>1625527.4173999988</v>
      </c>
      <c r="D27" s="15">
        <v>-790068.48501749849</v>
      </c>
      <c r="F27" s="32">
        <f t="shared" si="0"/>
        <v>835458.93238250026</v>
      </c>
      <c r="G27" s="14">
        <f>F27-F3</f>
        <v>184718.71238250029</v>
      </c>
      <c r="H27" s="25">
        <f>100*G27/J4</f>
        <v>1.7285455140674317</v>
      </c>
      <c r="I27" s="25">
        <f>10.69*(100-H27)/100</f>
        <v>10.505218484546189</v>
      </c>
      <c r="J27" s="14"/>
      <c r="K27" s="14"/>
    </row>
    <row r="28" spans="1:11" x14ac:dyDescent="0.25">
      <c r="B28" s="16">
        <v>42125</v>
      </c>
      <c r="C28" s="15">
        <v>1815434.4438750008</v>
      </c>
      <c r="D28" s="15">
        <v>-755322.27525000065</v>
      </c>
      <c r="F28" s="32">
        <f t="shared" si="0"/>
        <v>1060112.1686250002</v>
      </c>
      <c r="G28" s="14">
        <f t="shared" ref="G28:G29" si="11">F28-F4</f>
        <v>152251.83862500987</v>
      </c>
      <c r="H28" s="25">
        <f t="shared" ref="H28:H29" si="12">100*G28/J5</f>
        <v>1.2456924536512284</v>
      </c>
      <c r="I28" s="25">
        <f>12.22*(100-H28)/100</f>
        <v>12.067776382163821</v>
      </c>
      <c r="J28" s="14"/>
      <c r="K28" s="14"/>
    </row>
    <row r="29" spans="1:11" x14ac:dyDescent="0.25">
      <c r="B29" s="16">
        <v>42217</v>
      </c>
      <c r="C29" s="15">
        <v>1358877.1453750026</v>
      </c>
      <c r="D29" s="15">
        <v>-534009.80201249896</v>
      </c>
      <c r="F29" s="32">
        <f t="shared" si="0"/>
        <v>824867.34336250369</v>
      </c>
      <c r="G29" s="14">
        <f t="shared" si="11"/>
        <v>121448.46336250007</v>
      </c>
      <c r="H29" s="25">
        <f t="shared" si="12"/>
        <v>0.98267604732243963</v>
      </c>
      <c r="I29" s="25">
        <f>12.26*(100-H29)/100</f>
        <v>12.139523916598268</v>
      </c>
      <c r="J29" s="14"/>
      <c r="K29" s="14"/>
    </row>
    <row r="30" spans="1:11" x14ac:dyDescent="0.25">
      <c r="F30" s="32"/>
      <c r="G30" s="14"/>
      <c r="H30" s="14"/>
      <c r="I30" s="14"/>
      <c r="J30" s="14"/>
      <c r="K30" s="14"/>
    </row>
    <row r="31" spans="1:11" x14ac:dyDescent="0.25">
      <c r="C31" s="15">
        <v>4799839.0066500027</v>
      </c>
      <c r="D31" s="15">
        <v>-2079400.5622799981</v>
      </c>
      <c r="E31" s="15">
        <v>2720438.4443700043</v>
      </c>
      <c r="F31" s="32"/>
      <c r="G31" s="14"/>
      <c r="H31" s="14"/>
      <c r="I31" s="14"/>
      <c r="J31" s="14"/>
      <c r="K31" s="14"/>
    </row>
    <row r="32" spans="1:11" x14ac:dyDescent="0.25">
      <c r="F32" s="32"/>
      <c r="G32" s="14"/>
      <c r="H32" s="14"/>
      <c r="I32" s="14"/>
      <c r="J32" s="14"/>
      <c r="K32" s="14"/>
    </row>
    <row r="33" spans="1:11" x14ac:dyDescent="0.25">
      <c r="B33" s="16"/>
      <c r="C33" s="15"/>
      <c r="D33" s="15"/>
      <c r="F33" s="32"/>
      <c r="G33" s="14"/>
      <c r="H33" s="14"/>
      <c r="I33" s="14"/>
      <c r="J33" s="14"/>
      <c r="K33" s="14"/>
    </row>
    <row r="34" spans="1:11" x14ac:dyDescent="0.25">
      <c r="A34" t="s">
        <v>38</v>
      </c>
      <c r="B34" s="16">
        <v>41944</v>
      </c>
      <c r="C34" s="15">
        <v>1829617.79220001</v>
      </c>
      <c r="D34" s="15">
        <v>-896553.46725749713</v>
      </c>
      <c r="F34" s="32">
        <f t="shared" si="0"/>
        <v>933064.3249425129</v>
      </c>
      <c r="G34" s="14">
        <f>F34-F3</f>
        <v>282324.10494251293</v>
      </c>
      <c r="H34" s="25">
        <f>100*G34/J4</f>
        <v>2.6419091970549933</v>
      </c>
      <c r="I34" s="25">
        <f>10.69*(100-H34)/100</f>
        <v>10.407579906834819</v>
      </c>
      <c r="J34" s="14"/>
      <c r="K34" s="14"/>
    </row>
    <row r="35" spans="1:11" x14ac:dyDescent="0.25">
      <c r="B35" s="16">
        <v>42125</v>
      </c>
      <c r="C35" s="15">
        <v>1884243.6876749962</v>
      </c>
      <c r="D35" s="15">
        <v>-793353.51744749222</v>
      </c>
      <c r="F35" s="32">
        <f t="shared" si="0"/>
        <v>1090890.1702275039</v>
      </c>
      <c r="G35" s="14">
        <f t="shared" ref="G35:G36" si="13">F35-F4</f>
        <v>183029.84022751357</v>
      </c>
      <c r="H35" s="25">
        <f t="shared" ref="H35:H36" si="14">100*G35/J5</f>
        <v>1.4975115757121051</v>
      </c>
      <c r="I35" s="25">
        <f>12.22*(100-H35)/100</f>
        <v>12.037004085447983</v>
      </c>
      <c r="J35" s="14"/>
      <c r="K35" s="14"/>
    </row>
    <row r="36" spans="1:11" x14ac:dyDescent="0.25">
      <c r="B36" s="16">
        <v>42217</v>
      </c>
      <c r="C36" s="15">
        <v>1446089.5902000107</v>
      </c>
      <c r="D36" s="15">
        <v>-572440.95276000036</v>
      </c>
      <c r="F36" s="32">
        <f t="shared" si="0"/>
        <v>873648.63744001032</v>
      </c>
      <c r="G36" s="14">
        <f t="shared" si="13"/>
        <v>170229.75744000671</v>
      </c>
      <c r="H36" s="25">
        <f t="shared" si="14"/>
        <v>1.3773801705378768</v>
      </c>
      <c r="I36" s="25">
        <f>12.26*(100-H36)/100</f>
        <v>12.091133191092055</v>
      </c>
      <c r="J36" s="14"/>
      <c r="K36" s="14"/>
    </row>
    <row r="37" spans="1:11" x14ac:dyDescent="0.25">
      <c r="F37" s="14"/>
      <c r="G37" s="14"/>
      <c r="H37" s="14"/>
      <c r="I37" s="14"/>
      <c r="J37" s="14"/>
      <c r="K37" s="14"/>
    </row>
    <row r="38" spans="1:11" x14ac:dyDescent="0.25">
      <c r="C38" s="15">
        <v>5159951.0700750165</v>
      </c>
      <c r="D38" s="15">
        <v>-2262347.9374649897</v>
      </c>
      <c r="E38" s="14">
        <v>2897603.1326100267</v>
      </c>
      <c r="F38" s="14"/>
      <c r="G38" s="14"/>
      <c r="H38" s="14"/>
      <c r="I38" s="14"/>
      <c r="J38" s="14"/>
      <c r="K38" s="14"/>
    </row>
    <row r="39" spans="1:11" x14ac:dyDescent="0.25">
      <c r="F39" s="14"/>
      <c r="G39" s="14"/>
      <c r="H39" s="14"/>
      <c r="I39" s="14"/>
      <c r="J39" s="14"/>
      <c r="K39" s="14"/>
    </row>
    <row r="40" spans="1:11" x14ac:dyDescent="0.25">
      <c r="A40" t="s">
        <v>22</v>
      </c>
      <c r="B40" s="16">
        <v>41944</v>
      </c>
      <c r="C40" s="15">
        <v>1396448.4639625028</v>
      </c>
      <c r="D40" s="15">
        <v>-746365.94625500613</v>
      </c>
      <c r="F40" s="14"/>
      <c r="G40" s="14"/>
      <c r="H40" s="25"/>
      <c r="I40" s="25"/>
      <c r="J40" s="14"/>
      <c r="K40" s="14"/>
    </row>
    <row r="41" spans="1:11" x14ac:dyDescent="0.25">
      <c r="B41" s="16">
        <v>42125</v>
      </c>
      <c r="C41" s="15">
        <v>1592680.2434924974</v>
      </c>
      <c r="D41" s="15">
        <v>-684051.10124499793</v>
      </c>
      <c r="F41" s="14"/>
      <c r="G41" s="14"/>
      <c r="H41" s="25"/>
      <c r="I41" s="25"/>
      <c r="J41" s="14"/>
      <c r="K41" s="14"/>
    </row>
    <row r="42" spans="1:11" x14ac:dyDescent="0.25">
      <c r="B42" s="16">
        <v>42217</v>
      </c>
      <c r="C42" s="15">
        <v>1225361.2652375016</v>
      </c>
      <c r="D42" s="15">
        <v>-521921.89182500029</v>
      </c>
      <c r="F42" s="14"/>
      <c r="G42" s="14"/>
      <c r="H42" s="25"/>
      <c r="I42" s="25"/>
      <c r="J42" s="14"/>
      <c r="K42" s="14"/>
    </row>
    <row r="44" spans="1:11" x14ac:dyDescent="0.25">
      <c r="C44" s="15">
        <v>4214489.9726925017</v>
      </c>
      <c r="D44" s="15">
        <v>-1952338.9393250044</v>
      </c>
      <c r="E44" s="14">
        <v>2262151.0333674974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Results MAN</vt:lpstr>
      <vt:lpstr>Results ALL</vt:lpstr>
    </vt:vector>
  </TitlesOfParts>
  <Company>National Grid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Bradbury</dc:creator>
  <cp:lastModifiedBy>Cem Suleyman</cp:lastModifiedBy>
  <dcterms:created xsi:type="dcterms:W3CDTF">2015-09-15T09:49:40Z</dcterms:created>
  <dcterms:modified xsi:type="dcterms:W3CDTF">2015-12-24T10:37:05Z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1212674636</vt:i4>
  </property>
  <property fmtid="{D5CDD505-2E9C-101B-9397-08002B2CF9AE}" pid="4" name="_EmailSubject">
    <vt:lpwstr>CMP243 - Updated Report and analysis</vt:lpwstr>
  </property>
  <property fmtid="{D5CDD505-2E9C-101B-9397-08002B2CF9AE}" pid="5" name="_AuthorEmail">
    <vt:lpwstr>cusc.team@nationalgrid.com</vt:lpwstr>
  </property>
  <property fmtid="{D5CDD505-2E9C-101B-9397-08002B2CF9AE}" pid="6" name="_AuthorEmailDisplayName">
    <vt:lpwstr>.Box.Cusc.Team</vt:lpwstr>
  </property>
</Properties>
</file>