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drawings/drawing18.xml" ContentType="application/vnd.openxmlformats-officedocument.drawing+xml"/>
  <Override PartName="/xl/comments4.xml" ContentType="application/vnd.openxmlformats-officedocument.spreadsheetml.comments+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85" windowWidth="10605" windowHeight="6720" tabRatio="774"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45621"/>
</workbook>
</file>

<file path=xl/calcChain.xml><?xml version="1.0" encoding="utf-8"?>
<calcChain xmlns="http://schemas.openxmlformats.org/spreadsheetml/2006/main">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B13" i="7" s="1"/>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F13" i="13"/>
  <c r="G13" i="13"/>
  <c r="H13" i="13"/>
  <c r="I13" i="13"/>
  <c r="J13" i="13"/>
  <c r="K13" i="13"/>
  <c r="L13" i="13"/>
  <c r="M13" i="13"/>
  <c r="N13" i="13"/>
  <c r="C35" i="12"/>
  <c r="F14" i="21"/>
  <c r="G14" i="21"/>
  <c r="H14" i="21"/>
  <c r="I14" i="21"/>
  <c r="J14" i="21"/>
  <c r="K14" i="21"/>
  <c r="L14" i="21"/>
  <c r="M14" i="21"/>
  <c r="N14" i="21"/>
  <c r="B19" i="16" l="1"/>
  <c r="D16" i="11"/>
  <c r="E16" i="11"/>
  <c r="F16" i="11"/>
  <c r="B21" i="11" s="1"/>
  <c r="G16" i="11"/>
  <c r="H16" i="11"/>
  <c r="I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H1" i="26"/>
  <c r="I33" i="15"/>
  <c r="J33" i="15"/>
  <c r="K33" i="15"/>
  <c r="I37" i="15"/>
  <c r="J37" i="15"/>
  <c r="K37" i="15"/>
  <c r="I38" i="15"/>
  <c r="J38" i="15"/>
  <c r="I39" i="15"/>
  <c r="J39" i="15"/>
  <c r="I40" i="15"/>
  <c r="J40" i="15"/>
  <c r="I41" i="15"/>
  <c r="J41" i="15"/>
  <c r="I42" i="15"/>
  <c r="J42" i="15"/>
  <c r="I43" i="15"/>
  <c r="J43" i="15"/>
  <c r="I44" i="15"/>
  <c r="J44" i="15"/>
  <c r="I45" i="15"/>
  <c r="J45" i="15"/>
  <c r="I46" i="15"/>
  <c r="J46" i="15"/>
  <c r="E13" i="13" l="1"/>
  <c r="C13" i="13"/>
  <c r="D13" i="13" l="1"/>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P3" i="5" s="1"/>
  <c r="B42" i="4" l="1"/>
  <c r="B34" i="6"/>
  <c r="B54" i="12"/>
  <c r="E2" i="26" l="1"/>
  <c r="C32" i="21" l="1"/>
  <c r="C36" i="21"/>
  <c r="C40" i="21"/>
  <c r="C35" i="21"/>
  <c r="C39" i="21"/>
  <c r="C25" i="14"/>
  <c r="C33" i="21"/>
  <c r="C37" i="21"/>
  <c r="C41" i="21"/>
  <c r="C24" i="14"/>
  <c r="C34" i="21"/>
  <c r="C38" i="21"/>
  <c r="C31" i="21"/>
  <c r="B20" i="11"/>
  <c r="B19" i="11"/>
  <c r="B18" i="11"/>
  <c r="C17" i="13"/>
  <c r="C1" i="1"/>
  <c r="C9" i="5" l="1"/>
  <c r="D9" i="5"/>
  <c r="C5" i="5"/>
  <c r="D5" i="5"/>
  <c r="E1" i="1" l="1"/>
  <c r="G1" i="1" s="1"/>
  <c r="D1" i="1" l="1"/>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Jon McDonald</author>
  </authors>
  <commentList>
    <comment ref="J5" authorId="0">
      <text>
        <r>
          <rPr>
            <b/>
            <sz val="9"/>
            <color indexed="81"/>
            <rFont val="Tahoma"/>
            <family val="2"/>
          </rPr>
          <t>Jon McDonald:</t>
        </r>
        <r>
          <rPr>
            <sz val="9"/>
            <color indexed="81"/>
            <rFont val="Tahoma"/>
            <family val="2"/>
          </rPr>
          <t xml:space="preserve">
change required:
do not use ASROP - only update from sent-to-finance and MBSS file
</t>
        </r>
      </text>
    </comment>
  </commentList>
</comments>
</file>

<file path=xl/comments2.xml><?xml version="1.0" encoding="utf-8"?>
<comments xmlns="http://schemas.openxmlformats.org/spreadsheetml/2006/main">
  <authors>
    <author>Cristian Ebau</author>
  </authors>
  <commentList>
    <comment ref="B25" authorId="0">
      <text>
        <r>
          <rPr>
            <b/>
            <sz val="9"/>
            <color indexed="81"/>
            <rFont val="Tahoma"/>
            <family val="2"/>
          </rPr>
          <t>Cristian Ebau:</t>
        </r>
        <r>
          <rPr>
            <sz val="9"/>
            <color indexed="81"/>
            <rFont val="Tahoma"/>
            <family val="2"/>
          </rPr>
          <t xml:space="preserve">
Check the formatting for this diagram</t>
        </r>
      </text>
    </comment>
  </commentList>
</comments>
</file>

<file path=xl/comments3.xml><?xml version="1.0" encoding="utf-8"?>
<comments xmlns="http://schemas.openxmlformats.org/spreadsheetml/2006/main">
  <authors>
    <author>Cristian Ebau</author>
  </authors>
  <commentList>
    <comment ref="A3" authorId="0">
      <text>
        <r>
          <rPr>
            <b/>
            <sz val="9"/>
            <color indexed="81"/>
            <rFont val="Tahoma"/>
            <family val="2"/>
          </rPr>
          <t>Cristian Ebau:</t>
        </r>
        <r>
          <rPr>
            <sz val="9"/>
            <color indexed="81"/>
            <rFont val="Tahoma"/>
            <family val="2"/>
          </rPr>
          <t xml:space="preserve">
this come from the ROP Outturn Daily tab. "Standing Reserve"</t>
        </r>
      </text>
    </comment>
    <comment ref="A4" authorId="0">
      <text>
        <r>
          <rPr>
            <b/>
            <sz val="9"/>
            <color indexed="81"/>
            <rFont val="Tahoma"/>
            <family val="2"/>
          </rPr>
          <t>Cristian Ebau:</t>
        </r>
        <r>
          <rPr>
            <sz val="9"/>
            <color indexed="81"/>
            <rFont val="Tahoma"/>
            <family val="2"/>
          </rPr>
          <t xml:space="preserve">
also these AS figure are in the ROP</t>
        </r>
      </text>
    </comment>
    <comment ref="A13" authorId="0">
      <text>
        <r>
          <rPr>
            <b/>
            <sz val="9"/>
            <color indexed="81"/>
            <rFont val="Tahoma"/>
            <family val="2"/>
          </rPr>
          <t>Cristian Ebau:</t>
        </r>
        <r>
          <rPr>
            <sz val="9"/>
            <color indexed="81"/>
            <rFont val="Tahoma"/>
            <family val="2"/>
          </rPr>
          <t xml:space="preserve">
these data are from the volume report
</t>
        </r>
      </text>
    </comment>
  </commentList>
</comments>
</file>

<file path=xl/comments4.xml><?xml version="1.0" encoding="utf-8"?>
<comments xmlns="http://schemas.openxmlformats.org/spreadsheetml/2006/main">
  <authors>
    <author>Jon McDonald</author>
  </authors>
  <commentList>
    <comment ref="B29" authorId="0">
      <text>
        <r>
          <rPr>
            <b/>
            <sz val="9"/>
            <color indexed="81"/>
            <rFont val="Tahoma"/>
            <family val="2"/>
          </rPr>
          <t>Jon McDonald:</t>
        </r>
        <r>
          <rPr>
            <sz val="9"/>
            <color indexed="81"/>
            <rFont val="Tahoma"/>
            <family val="2"/>
          </rPr>
          <t xml:space="preserve">
these can be picked up from AS Volumes tab</t>
        </r>
      </text>
    </comment>
  </commentList>
</comments>
</file>

<file path=xl/sharedStrings.xml><?xml version="1.0" encoding="utf-8"?>
<sst xmlns="http://schemas.openxmlformats.org/spreadsheetml/2006/main" count="360" uniqueCount="188">
  <si>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</si>
  <si>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</si>
  <si>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</si>
  <si>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</si>
  <si>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</si>
  <si>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</si>
  <si>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</si>
  <si>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</si>
  <si>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</si>
  <si>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</si>
  <si>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</si>
  <si>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</si>
  <si>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</si>
  <si>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</si>
  <si>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</si>
  <si>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</si>
  <si>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</si>
  <si>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</si>
  <si>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</si>
  <si>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</si>
  <si>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</si>
  <si>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</si>
  <si>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</si>
  <si>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</si>
  <si>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</si>
  <si>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</si>
  <si>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</si>
  <si>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</si>
  <si>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</si>
  <si>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</si>
  <si>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</si>
  <si>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</si>
  <si>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</si>
  <si>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</si>
  <si>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</si>
  <si>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</si>
  <si>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</si>
  <si>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</si>
  <si>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</si>
  <si>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</si>
  <si>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</si>
  <si>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</si>
  <si>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</si>
  <si>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</si>
  <si>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</si>
  <si>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</si>
  <si>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</si>
  <si>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</si>
  <si>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</si>
  <si>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</si>
  <si>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</si>
  <si>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</si>
  <si>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</si>
  <si>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</si>
  <si>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</si>
  <si>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</si>
  <si>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</si>
  <si>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</si>
  <si>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</si>
  <si>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</si>
  <si>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</si>
  <si>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</si>
  <si>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</si>
  <si>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</si>
  <si>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</si>
  <si>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</si>
  <si>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</si>
  <si>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</si>
  <si>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</si>
  <si>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</si>
  <si>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</si>
  <si>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</si>
  <si>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</si>
  <si>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</si>
  <si>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</si>
  <si>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</si>
  <si>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</si>
  <si>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</si>
  <si>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</si>
  <si>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</si>
  <si>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</si>
  <si>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</si>
  <si>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</si>
  <si>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</si>
  <si>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</si>
  <si>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</si>
  <si>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</si>
  <si>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</si>
  <si>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</si>
  <si>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</si>
  <si>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</si>
  <si>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</si>
  <si>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</si>
  <si>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</si>
  <si>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</si>
  <si>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</si>
  <si>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</si>
  <si>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</si>
  <si>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</si>
  <si>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</si>
  <si>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</si>
  <si>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</si>
  <si>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</si>
  <si>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</si>
  <si>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</si>
  <si>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</si>
  <si>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</si>
  <si>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</si>
  <si>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</si>
  <si>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</si>
  <si>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</si>
  <si>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</si>
  <si>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</si>
  <si>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</si>
  <si>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</si>
  <si>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</si>
  <si>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</si>
  <si>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</si>
  <si>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</si>
  <si>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</si>
  <si>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</si>
  <si>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</si>
  <si>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</si>
  <si>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</si>
  <si>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</si>
  <si>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</si>
  <si>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</si>
  <si>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</si>
  <si>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</si>
  <si>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</si>
  <si>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</si>
  <si>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</si>
  <si>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</si>
  <si>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</si>
  <si>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</si>
  <si>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</si>
  <si>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</si>
  <si>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</si>
  <si>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</si>
  <si>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</si>
  <si>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</si>
  <si>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</si>
  <si>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</si>
  <si>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</si>
  <si>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</si>
  <si>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</si>
  <si>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</si>
  <si>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</si>
  <si>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</si>
  <si>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</si>
  <si>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</si>
  <si>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</si>
  <si>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</si>
  <si>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</si>
  <si>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</si>
  <si>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Other Reserve</t>
  </si>
  <si>
    <t>Non Delivery</t>
  </si>
  <si>
    <t>Negative Reserve</t>
  </si>
  <si>
    <t>Enter Reporting month:</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</si>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</sst>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76" formatCode="_(* #,##0.00_);_(* \(#,##0.00\);_(* &quot;-&quot;??_);_(@_)"/>
    <numFmt numFmtId="177" formatCode="_-[$£-809]* #,##0.00_-;\-[$£-809]* #,##0.00_-;_-[$£-809]* &quot;-&quot;??_-;_-@_-"/>
    <numFmt numFmtId="178"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6" fontId="4" fillId="0" borderId="0" applyFont="0" applyFill="0" applyBorder="0" applyAlignment="0" applyProtection="0"/>
  </cellStyleXfs>
  <cellXfs count="80">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3" fontId="5" fillId="3" borderId="1" xfId="0" applyNumberFormat="1" applyFont="1" applyFill="1" applyBorder="1" applyAlignment="1">
      <alignment wrapText="1"/>
    </xf>
    <xf numFmtId="0" fontId="5" fillId="0" borderId="1" xfId="0" applyFont="1" applyBorder="1" applyAlignment="1"/>
    <xf numFmtId="3" fontId="5" fillId="0" borderId="1" xfId="0" applyNumberFormat="1" applyFont="1" applyBorder="1" applyAlignment="1">
      <alignment wrapText="1"/>
    </xf>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3" fontId="5" fillId="0" borderId="1" xfId="0" applyNumberFormat="1" applyFont="1" applyBorder="1"/>
    <xf numFmtId="3" fontId="5" fillId="0" borderId="1" xfId="0" applyNumberFormat="1" applyFont="1" applyBorder="1" applyAlignment="1">
      <alignment horizontal="center"/>
    </xf>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3" fontId="0" fillId="3" borderId="1" xfId="0" applyNumberFormat="1" applyFill="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7"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8"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cost'!$G$1</c:f>
          <c:strCache>
            <c:ptCount val="1"/>
            <c:pt idx="0">
              <c:v>Balancing Cost Jul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0-06A0-4263-932F-83F3459A68BC}"/>
              </c:ext>
            </c:extLst>
          </c:dPt>
          <c:dPt>
            <c:idx val="2"/>
            <c:bubble3D val="0"/>
            <c:explosion val="10"/>
            <c:extLst xmlns:c16r2="http://schemas.microsoft.com/office/drawing/2015/06/chart">
              <c:ext xmlns:c16="http://schemas.microsoft.com/office/drawing/2014/chart" uri="{C3380CC4-5D6E-409C-BE32-E72D297353CC}">
                <c16:uniqueId val="{00000001-06A0-4263-932F-83F3459A68BC}"/>
              </c:ext>
            </c:extLst>
          </c:dPt>
          <c:dPt>
            <c:idx val="4"/>
            <c:bubble3D val="0"/>
            <c:explosion val="15"/>
            <c:extLst xmlns:c16r2="http://schemas.microsoft.com/office/drawing/2015/06/char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30.785484543786641</c:v>
                </c:pt>
                <c:pt idx="1">
                  <c:v>16.657114570999088</c:v>
                </c:pt>
                <c:pt idx="2">
                  <c:v>33.529738917594422</c:v>
                </c:pt>
                <c:pt idx="3">
                  <c:v>-0.13278563178567002</c:v>
                </c:pt>
                <c:pt idx="4">
                  <c:v>-1.0048853130000577</c:v>
                </c:pt>
              </c:numCache>
            </c:numRef>
          </c:val>
          <c:extLst xmlns:c16r2="http://schemas.microsoft.com/office/drawing/2015/06/char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000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4.39553021999959</c:v>
                </c:pt>
                <c:pt idx="1">
                  <c:v>4.4943416799998221</c:v>
                </c:pt>
                <c:pt idx="2">
                  <c:v>4.6840680191897528</c:v>
                </c:pt>
                <c:pt idx="3">
                  <c:v>4.8531435500000004</c:v>
                </c:pt>
              </c:numCache>
            </c:numRef>
          </c:val>
          <c:extLst xmlns:c16r2="http://schemas.microsoft.com/office/drawing/2015/06/char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2D05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3.8632746200000003</c:v>
                </c:pt>
                <c:pt idx="1">
                  <c:v>4.5016228900000002</c:v>
                </c:pt>
                <c:pt idx="2">
                  <c:v>4.2503607900000002</c:v>
                </c:pt>
                <c:pt idx="3">
                  <c:v>4.5475005299999998</c:v>
                </c:pt>
              </c:numCache>
            </c:numRef>
          </c:val>
          <c:extLst xmlns:c16r2="http://schemas.microsoft.com/office/drawing/2015/06/char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7030A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0.63436353999999961</c:v>
                </c:pt>
              </c:numCache>
            </c:numRef>
          </c:val>
          <c:extLst xmlns:c16r2="http://schemas.microsoft.com/office/drawing/2015/06/char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66925696"/>
        <c:axId val="66927232"/>
      </c:barChart>
      <c:dateAx>
        <c:axId val="66925696"/>
        <c:scaling>
          <c:orientation val="minMax"/>
        </c:scaling>
        <c:delete val="0"/>
        <c:axPos val="b"/>
        <c:numFmt formatCode="mmm\-yy" sourceLinked="1"/>
        <c:majorTickMark val="out"/>
        <c:minorTickMark val="none"/>
        <c:tickLblPos val="nextTo"/>
        <c:crossAx val="66927232"/>
        <c:crosses val="autoZero"/>
        <c:auto val="1"/>
        <c:lblOffset val="100"/>
        <c:baseTimeUnit val="months"/>
      </c:dateAx>
      <c:valAx>
        <c:axId val="66927232"/>
        <c:scaling>
          <c:orientation val="minMax"/>
        </c:scaling>
        <c:delete val="0"/>
        <c:axPos val="l"/>
        <c:majorGridlines/>
        <c:title>
          <c:tx>
            <c:rich>
              <a:bodyPr/>
              <a:lstStyle/>
              <a:p>
                <a:pPr>
                  <a:defRPr/>
                </a:pPr>
                <a:r>
                  <a:rPr lang="en-US"/>
                  <a:t>Cost £ million</a:t>
                </a:r>
              </a:p>
            </c:rich>
          </c:tx>
          <c:layout/>
          <c:overlay val="0"/>
        </c:title>
        <c:numFmt formatCode="#,##0" sourceLinked="0"/>
        <c:majorTickMark val="out"/>
        <c:minorTickMark val="none"/>
        <c:tickLblPos val="nextTo"/>
        <c:crossAx val="6692569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DSR!$B$34</c:f>
          <c:strCache>
            <c:ptCount val="1"/>
            <c:pt idx="0">
              <c:v>AS Costs By Provider Type - Jul 2018</c:v>
            </c:pt>
          </c:strCache>
        </c:strRef>
      </c:tx>
      <c:layout>
        <c:manualLayout>
          <c:xMode val="edge"/>
          <c:yMode val="edge"/>
          <c:x val="0.17983414391168165"/>
          <c:y val="3.9522501513725716E-2"/>
        </c:manualLayout>
      </c:layout>
      <c:overlay val="1"/>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xmlns:c16r2="http://schemas.microsoft.com/office/drawing/2015/06/chart">
              <c:ext xmlns:c16="http://schemas.microsoft.com/office/drawing/2014/chart" uri="{C3380CC4-5D6E-409C-BE32-E72D297353CC}">
                <c16:uniqueId val="{00000001-2C6C-4847-AB27-1818E1EFE285}"/>
              </c:ext>
            </c:extLst>
          </c:dPt>
          <c:dPt>
            <c:idx val="1"/>
            <c:bubble3D val="0"/>
            <c:explosion val="8"/>
            <c:extLst xmlns:c16r2="http://schemas.microsoft.com/office/drawing/2015/06/char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DSR!$F$9:$F$12</c:f>
              <c:numCache>
                <c:formatCode>0.00</c:formatCode>
                <c:ptCount val="4"/>
                <c:pt idx="0">
                  <c:v>10.066007620000001</c:v>
                </c:pt>
                <c:pt idx="1">
                  <c:v>22.827205983727996</c:v>
                </c:pt>
                <c:pt idx="2">
                  <c:v>0.77064764386643247</c:v>
                </c:pt>
                <c:pt idx="3">
                  <c:v>0</c:v>
                </c:pt>
              </c:numCache>
            </c:numRef>
          </c:val>
          <c:extLst xmlns:c16r2="http://schemas.microsoft.com/office/drawing/2015/06/char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numCache>
            </c:numRef>
          </c:val>
          <c:extLst xmlns:c16r2="http://schemas.microsoft.com/office/drawing/2015/06/char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numCache>
            </c:numRef>
          </c:val>
          <c:extLst xmlns:c16r2="http://schemas.microsoft.com/office/drawing/2015/06/char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numCache>
            </c:numRef>
          </c:val>
          <c:extLst xmlns:c16r2="http://schemas.microsoft.com/office/drawing/2015/06/char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0.77064764386643247</c:v>
                </c:pt>
              </c:numCache>
            </c:numRef>
          </c:val>
          <c:extLst xmlns:c16r2="http://schemas.microsoft.com/office/drawing/2015/06/char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66386944"/>
        <c:axId val="66454272"/>
      </c:barChart>
      <c:dateAx>
        <c:axId val="66386944"/>
        <c:scaling>
          <c:orientation val="minMax"/>
        </c:scaling>
        <c:delete val="0"/>
        <c:axPos val="b"/>
        <c:numFmt formatCode="mmm\-yy" sourceLinked="1"/>
        <c:majorTickMark val="out"/>
        <c:minorTickMark val="none"/>
        <c:tickLblPos val="nextTo"/>
        <c:crossAx val="66454272"/>
        <c:crosses val="autoZero"/>
        <c:auto val="1"/>
        <c:lblOffset val="100"/>
        <c:baseTimeUnit val="months"/>
      </c:dateAx>
      <c:valAx>
        <c:axId val="66454272"/>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6638694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numCache>
            </c:numRef>
          </c:val>
          <c:extLst xmlns:c16r2="http://schemas.microsoft.com/office/drawing/2015/06/char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66870272"/>
        <c:axId val="66876160"/>
      </c:barChart>
      <c:dateAx>
        <c:axId val="668702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76160"/>
        <c:crosses val="autoZero"/>
        <c:auto val="1"/>
        <c:lblOffset val="100"/>
        <c:baseTimeUnit val="months"/>
      </c:dateAx>
      <c:valAx>
        <c:axId val="6687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70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numCache>
            </c:numRef>
          </c:val>
          <c:extLst xmlns:c16r2="http://schemas.microsoft.com/office/drawing/2015/06/char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66902272"/>
        <c:axId val="66908160"/>
      </c:barChart>
      <c:dateAx>
        <c:axId val="669022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08160"/>
        <c:crosses val="autoZero"/>
        <c:auto val="1"/>
        <c:lblOffset val="100"/>
        <c:baseTimeUnit val="months"/>
      </c:dateAx>
      <c:valAx>
        <c:axId val="6690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02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2.5151462703844705</c:v>
                </c:pt>
                <c:pt idx="1">
                  <c:v>2.1671162350851598</c:v>
                </c:pt>
                <c:pt idx="2">
                  <c:v>0.84352933152058007</c:v>
                </c:pt>
                <c:pt idx="3">
                  <c:v>1.9906922305516099</c:v>
                </c:pt>
              </c:numCache>
            </c:numRef>
          </c:val>
          <c:extLst xmlns:c16r2="http://schemas.microsoft.com/office/drawing/2015/06/char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1.5418544912971104</c:v>
                </c:pt>
                <c:pt idx="1">
                  <c:v>1.9115607008938198</c:v>
                </c:pt>
                <c:pt idx="2">
                  <c:v>2.2672596151643902</c:v>
                </c:pt>
                <c:pt idx="3">
                  <c:v>2.4010604574041801</c:v>
                </c:pt>
              </c:numCache>
            </c:numRef>
          </c:val>
          <c:extLst xmlns:c16r2="http://schemas.microsoft.com/office/drawing/2015/06/char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2.9447964967749998E-2</c:v>
                </c:pt>
                <c:pt idx="1">
                  <c:v>0.19863086725012</c:v>
                </c:pt>
                <c:pt idx="2">
                  <c:v>3.9113178853159999E-2</c:v>
                </c:pt>
                <c:pt idx="3">
                  <c:v>0.17567412871568</c:v>
                </c:pt>
              </c:numCache>
            </c:numRef>
          </c:val>
          <c:extLst xmlns:c16r2="http://schemas.microsoft.com/office/drawing/2015/06/char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3.5997274999999995E-2</c:v>
                </c:pt>
                <c:pt idx="1">
                  <c:v>0.21393737100000002</c:v>
                </c:pt>
                <c:pt idx="2">
                  <c:v>0.41133682692395007</c:v>
                </c:pt>
                <c:pt idx="3">
                  <c:v>0.11598598406272999</c:v>
                </c:pt>
              </c:numCache>
            </c:numRef>
          </c:val>
          <c:extLst xmlns:c16r2="http://schemas.microsoft.com/office/drawing/2015/06/char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68240512"/>
        <c:axId val="68242048"/>
      </c:barChart>
      <c:dateAx>
        <c:axId val="68240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42048"/>
        <c:crosses val="autoZero"/>
        <c:auto val="1"/>
        <c:lblOffset val="100"/>
        <c:baseTimeUnit val="months"/>
      </c:dateAx>
      <c:valAx>
        <c:axId val="68242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405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108098.43799999999</c:v>
                </c:pt>
                <c:pt idx="1">
                  <c:v>89675.133000000002</c:v>
                </c:pt>
                <c:pt idx="2">
                  <c:v>48441.554999999993</c:v>
                </c:pt>
                <c:pt idx="3">
                  <c:v>90556.491999999984</c:v>
                </c:pt>
              </c:numCache>
            </c:numRef>
          </c:val>
          <c:extLst xmlns:c16r2="http://schemas.microsoft.com/office/drawing/2015/06/char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189509.33599999995</c:v>
                </c:pt>
                <c:pt idx="1">
                  <c:v>228718.93099999995</c:v>
                </c:pt>
                <c:pt idx="2">
                  <c:v>357295.06899999996</c:v>
                </c:pt>
                <c:pt idx="3">
                  <c:v>372715.31700000004</c:v>
                </c:pt>
              </c:numCache>
            </c:numRef>
          </c:val>
          <c:extLst xmlns:c16r2="http://schemas.microsoft.com/office/drawing/2015/06/char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2744</c:v>
                </c:pt>
                <c:pt idx="3">
                  <c:v>1813</c:v>
                </c:pt>
              </c:numCache>
            </c:numRef>
          </c:val>
          <c:extLst xmlns:c16r2="http://schemas.microsoft.com/office/drawing/2015/06/char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15748</c:v>
                </c:pt>
                <c:pt idx="3">
                  <c:v>5609</c:v>
                </c:pt>
              </c:numCache>
            </c:numRef>
          </c:val>
          <c:extLst xmlns:c16r2="http://schemas.microsoft.com/office/drawing/2015/06/char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numCache>
            </c:numRef>
          </c:val>
          <c:extLst xmlns:c16r2="http://schemas.microsoft.com/office/drawing/2015/06/char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68570496"/>
        <c:axId val="68592768"/>
      </c:barChart>
      <c:dateAx>
        <c:axId val="685704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92768"/>
        <c:crosses val="autoZero"/>
        <c:auto val="1"/>
        <c:lblOffset val="100"/>
        <c:baseTimeUnit val="months"/>
      </c:dateAx>
      <c:valAx>
        <c:axId val="6859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70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7.5542247806790003E-2</c:v>
                </c:pt>
                <c:pt idx="1">
                  <c:v>4.1343767424000005E-2</c:v>
                </c:pt>
                <c:pt idx="2">
                  <c:v>3.3740635283049991E-2</c:v>
                </c:pt>
                <c:pt idx="3">
                  <c:v>0.12881977397467001</c:v>
                </c:pt>
              </c:numCache>
            </c:numRef>
          </c:val>
          <c:extLst xmlns:c16r2="http://schemas.microsoft.com/office/drawing/2015/06/char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2.2192515600000009</c:v>
                </c:pt>
                <c:pt idx="3">
                  <c:v>2.5465880899999993</c:v>
                </c:pt>
              </c:numCache>
            </c:numRef>
          </c:val>
          <c:extLst xmlns:c16r2="http://schemas.microsoft.com/office/drawing/2015/06/char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2.0156231</c:v>
                </c:pt>
                <c:pt idx="1">
                  <c:v>2.5426427400000002</c:v>
                </c:pt>
                <c:pt idx="2">
                  <c:v>2.5732744100000007</c:v>
                </c:pt>
                <c:pt idx="3">
                  <c:v>2.5998656999999996</c:v>
                </c:pt>
              </c:numCache>
            </c:numRef>
          </c:val>
          <c:extLst xmlns:c16r2="http://schemas.microsoft.com/office/drawing/2015/06/char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numCache>
            </c:numRef>
          </c:val>
          <c:extLst xmlns:c16r2="http://schemas.microsoft.com/office/drawing/2015/06/char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67040768"/>
        <c:axId val="67042304"/>
      </c:barChart>
      <c:dateAx>
        <c:axId val="67040768"/>
        <c:scaling>
          <c:orientation val="minMax"/>
        </c:scaling>
        <c:delete val="0"/>
        <c:axPos val="b"/>
        <c:numFmt formatCode="mmm\-yy" sourceLinked="1"/>
        <c:majorTickMark val="out"/>
        <c:minorTickMark val="none"/>
        <c:tickLblPos val="nextTo"/>
        <c:crossAx val="67042304"/>
        <c:crosses val="autoZero"/>
        <c:auto val="1"/>
        <c:lblOffset val="100"/>
        <c:baseTimeUnit val="months"/>
      </c:dateAx>
      <c:valAx>
        <c:axId val="67042304"/>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6704076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xmlns:c16r2="http://schemas.microsoft.com/office/drawing/2015/06/char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numCache>
            </c:numRef>
          </c:val>
          <c:extLst xmlns:c16r2="http://schemas.microsoft.com/office/drawing/2015/06/char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numCache>
            </c:numRef>
          </c:val>
          <c:extLst xmlns:c16r2="http://schemas.microsoft.com/office/drawing/2015/06/char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67201280"/>
        <c:axId val="67219456"/>
      </c:barChart>
      <c:dateAx>
        <c:axId val="67201280"/>
        <c:scaling>
          <c:orientation val="minMax"/>
        </c:scaling>
        <c:delete val="0"/>
        <c:axPos val="b"/>
        <c:numFmt formatCode="mmm\-yy" sourceLinked="1"/>
        <c:majorTickMark val="out"/>
        <c:minorTickMark val="none"/>
        <c:tickLblPos val="nextTo"/>
        <c:crossAx val="67219456"/>
        <c:crosses val="autoZero"/>
        <c:auto val="1"/>
        <c:lblOffset val="100"/>
        <c:baseTimeUnit val="months"/>
      </c:dateAx>
      <c:valAx>
        <c:axId val="67219456"/>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6720128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numCache>
            </c:numRef>
          </c:val>
          <c:extLst xmlns:c16r2="http://schemas.microsoft.com/office/drawing/2015/06/char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numCache>
            </c:numRef>
          </c:val>
          <c:extLst xmlns:c16r2="http://schemas.microsoft.com/office/drawing/2015/06/char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3.3415591599999996</c:v>
                </c:pt>
                <c:pt idx="3">
                  <c:v>6.0774469600000006E-2</c:v>
                </c:pt>
              </c:numCache>
            </c:numRef>
          </c:val>
          <c:extLst xmlns:c16r2="http://schemas.microsoft.com/office/drawing/2015/06/char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0.23406667000000003</c:v>
                </c:pt>
                <c:pt idx="2">
                  <c:v>7.4999999999999997E-2</c:v>
                </c:pt>
                <c:pt idx="3">
                  <c:v>0</c:v>
                </c:pt>
              </c:numCache>
            </c:numRef>
          </c:val>
          <c:extLst xmlns:c16r2="http://schemas.microsoft.com/office/drawing/2015/06/char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67142016"/>
        <c:axId val="67143552"/>
      </c:barChart>
      <c:dateAx>
        <c:axId val="671420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7143552"/>
        <c:crosses val="autoZero"/>
        <c:auto val="1"/>
        <c:lblOffset val="100"/>
        <c:baseTimeUnit val="months"/>
      </c:dateAx>
      <c:valAx>
        <c:axId val="6714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7142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numCache>
            </c:numRef>
          </c:val>
          <c:extLst xmlns:c16r2="http://schemas.microsoft.com/office/drawing/2015/06/char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4.1224460016493305</c:v>
                </c:pt>
                <c:pt idx="1">
                  <c:v>4.4912451742291006</c:v>
                </c:pt>
                <c:pt idx="2">
                  <c:v>3.5612389524620789</c:v>
                </c:pt>
                <c:pt idx="3">
                  <c:v>4.6834128007342004</c:v>
                </c:pt>
              </c:numCache>
            </c:numRef>
          </c:val>
          <c:extLst xmlns:c16r2="http://schemas.microsoft.com/office/drawing/2015/06/char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5.8473031278067893</c:v>
                </c:pt>
                <c:pt idx="1">
                  <c:v>6.8038906774240004</c:v>
                </c:pt>
                <c:pt idx="2">
                  <c:v>6.5033529852830512</c:v>
                </c:pt>
                <c:pt idx="3">
                  <c:v>7.222908393974671</c:v>
                </c:pt>
              </c:numCache>
            </c:numRef>
          </c:val>
          <c:extLst xmlns:c16r2="http://schemas.microsoft.com/office/drawing/2015/06/char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25.458318174613069</c:v>
                </c:pt>
                <c:pt idx="1">
                  <c:v>24.566140903605945</c:v>
                </c:pt>
                <c:pt idx="2">
                  <c:v>50.869517960804707</c:v>
                </c:pt>
                <c:pt idx="3">
                  <c:v>39.149824624984106</c:v>
                </c:pt>
              </c:numCache>
            </c:numRef>
          </c:val>
          <c:extLst xmlns:c16r2="http://schemas.microsoft.com/office/drawing/2015/06/char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0.57203066631893995</c:v>
                </c:pt>
              </c:numCache>
            </c:numRef>
          </c:val>
          <c:extLst xmlns:c16r2="http://schemas.microsoft.com/office/drawing/2015/06/char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6.6282317046892221</c:v>
                </c:pt>
                <c:pt idx="1">
                  <c:v>6.5779061599957194</c:v>
                </c:pt>
                <c:pt idx="2">
                  <c:v>6.2490571707779701</c:v>
                </c:pt>
                <c:pt idx="3">
                  <c:v>7.8891538550559535</c:v>
                </c:pt>
              </c:numCache>
            </c:numRef>
          </c:val>
          <c:extLst xmlns:c16r2="http://schemas.microsoft.com/office/drawing/2015/06/char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10.997027776734971</c:v>
                </c:pt>
                <c:pt idx="1">
                  <c:v>12.178186140850661</c:v>
                </c:pt>
                <c:pt idx="2">
                  <c:v>11.429604540440156</c:v>
                </c:pt>
                <c:pt idx="3">
                  <c:v>9.9887902804595985</c:v>
                </c:pt>
              </c:numCache>
            </c:numRef>
          </c:val>
          <c:extLst xmlns:c16r2="http://schemas.microsoft.com/office/drawing/2015/06/char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0.71916078000000017</c:v>
                </c:pt>
                <c:pt idx="1">
                  <c:v>0.8414972799999999</c:v>
                </c:pt>
                <c:pt idx="2">
                  <c:v>0.75124215999999999</c:v>
                </c:pt>
                <c:pt idx="3">
                  <c:v>0.99800239000000002</c:v>
                </c:pt>
              </c:numCache>
            </c:numRef>
          </c:val>
          <c:extLst xmlns:c16r2="http://schemas.microsoft.com/office/drawing/2015/06/char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6.3138506403902044</c:v>
                </c:pt>
                <c:pt idx="1">
                  <c:v>7.0256712320249992</c:v>
                </c:pt>
                <c:pt idx="2">
                  <c:v>7.3253937599999981</c:v>
                </c:pt>
                <c:pt idx="3">
                  <c:v>6.5524431499999993</c:v>
                </c:pt>
              </c:numCache>
            </c:numRef>
          </c:val>
          <c:extLst xmlns:c16r2="http://schemas.microsoft.com/office/drawing/2015/06/char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3.3660501699999998</c:v>
                </c:pt>
                <c:pt idx="1">
                  <c:v>3.6704132239652592</c:v>
                </c:pt>
                <c:pt idx="2">
                  <c:v>3.2253605499999995</c:v>
                </c:pt>
                <c:pt idx="3">
                  <c:v>2.8274294599999994</c:v>
                </c:pt>
              </c:numCache>
            </c:numRef>
          </c:val>
          <c:extLst xmlns:c16r2="http://schemas.microsoft.com/office/drawing/2015/06/char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1.5507602379663914</c:v>
                </c:pt>
                <c:pt idx="1">
                  <c:v>1.0431287621915475</c:v>
                </c:pt>
                <c:pt idx="2">
                  <c:v>1.1657715580340631</c:v>
                </c:pt>
                <c:pt idx="3">
                  <c:v>1.1955450970670567</c:v>
                </c:pt>
              </c:numCache>
            </c:numRef>
          </c:val>
          <c:extLst xmlns:c16r2="http://schemas.microsoft.com/office/drawing/2015/06/char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65426176"/>
        <c:axId val="65427712"/>
      </c:barChart>
      <c:dateAx>
        <c:axId val="65426176"/>
        <c:scaling>
          <c:orientation val="minMax"/>
        </c:scaling>
        <c:delete val="0"/>
        <c:axPos val="b"/>
        <c:numFmt formatCode="mmm\-yy" sourceLinked="1"/>
        <c:majorTickMark val="out"/>
        <c:minorTickMark val="none"/>
        <c:tickLblPos val="nextTo"/>
        <c:crossAx val="65427712"/>
        <c:crosses val="autoZero"/>
        <c:auto val="1"/>
        <c:lblOffset val="100"/>
        <c:baseTimeUnit val="months"/>
      </c:dateAx>
      <c:valAx>
        <c:axId val="65427712"/>
        <c:scaling>
          <c:orientation val="minMax"/>
        </c:scaling>
        <c:delete val="0"/>
        <c:axPos val="l"/>
        <c:majorGridlines/>
        <c:title>
          <c:tx>
            <c:rich>
              <a:bodyPr rot="-5400000" vert="horz"/>
              <a:lstStyle/>
              <a:p>
                <a:pPr>
                  <a:defRPr/>
                </a:pPr>
                <a:r>
                  <a:rPr lang="en-GB" sz="1050"/>
                  <a:t>Cost (£m)</a:t>
                </a:r>
              </a:p>
            </c:rich>
          </c:tx>
          <c:layout/>
          <c:overlay val="0"/>
        </c:title>
        <c:numFmt formatCode="0.00" sourceLinked="1"/>
        <c:majorTickMark val="out"/>
        <c:minorTickMark val="none"/>
        <c:tickLblPos val="nextTo"/>
        <c:crossAx val="6542617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Constraints!$B$54</c:f>
          <c:strCache>
            <c:ptCount val="1"/>
            <c:pt idx="0">
              <c:v>Constraints - Jul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0ED1-43E7-A1F0-1B2E9003F35E}"/>
              </c:ext>
            </c:extLst>
          </c:dPt>
          <c:dPt>
            <c:idx val="2"/>
            <c:bubble3D val="0"/>
            <c:explosion val="10"/>
            <c:extLst xmlns:c16r2="http://schemas.microsoft.com/office/drawing/2015/06/chart">
              <c:ext xmlns:c16="http://schemas.microsoft.com/office/drawing/2014/chart" uri="{C3380CC4-5D6E-409C-BE32-E72D297353CC}">
                <c16:uniqueId val="{00000003-0ED1-43E7-A1F0-1B2E9003F35E}"/>
              </c:ext>
            </c:extLst>
          </c:dPt>
          <c:dPt>
            <c:idx val="4"/>
            <c:bubble3D val="0"/>
            <c:explosion val="15"/>
            <c:extLst xmlns:c16r2="http://schemas.microsoft.com/office/drawing/2015/06/char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Constraints!$F$12:$F$19</c:f>
              <c:numCache>
                <c:formatCode>0.00</c:formatCode>
                <c:ptCount val="8"/>
                <c:pt idx="0">
                  <c:v>23.142327037999269</c:v>
                </c:pt>
                <c:pt idx="1">
                  <c:v>15.814284003256748</c:v>
                </c:pt>
                <c:pt idx="2">
                  <c:v>0</c:v>
                </c:pt>
                <c:pt idx="3">
                  <c:v>0.19321358372800002</c:v>
                </c:pt>
                <c:pt idx="4">
                  <c:v>0.90010988438616746</c:v>
                </c:pt>
                <c:pt idx="5">
                  <c:v>11.216732253211353</c:v>
                </c:pt>
                <c:pt idx="6">
                  <c:v>0</c:v>
                </c:pt>
                <c:pt idx="7">
                  <c:v>0.19321358372800002</c:v>
                </c:pt>
              </c:numCache>
            </c:numRef>
          </c:val>
          <c:extLst xmlns:c16r2="http://schemas.microsoft.com/office/drawing/2015/06/char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486056.89000000031</c:v>
                </c:pt>
                <c:pt idx="3">
                  <c:v>240083.21600000001</c:v>
                </c:pt>
              </c:numCache>
            </c:numRef>
          </c:val>
          <c:extLst xmlns:c16r2="http://schemas.microsoft.com/office/drawing/2015/06/char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36191.4</c:v>
                </c:pt>
                <c:pt idx="3">
                  <c:v>67527</c:v>
                </c:pt>
              </c:numCache>
            </c:numRef>
          </c:val>
          <c:extLst xmlns:c16r2="http://schemas.microsoft.com/office/drawing/2015/06/char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_-* #,##0_-;\-* #,##0_-;_-* "-"??_-;_-@_-</c:formatCode>
                <c:ptCount val="12"/>
                <c:pt idx="0">
                  <c:v>29230.236000000001</c:v>
                </c:pt>
                <c:pt idx="1">
                  <c:v>38818.62200000001</c:v>
                </c:pt>
                <c:pt idx="2">
                  <c:v>36772.302999999993</c:v>
                </c:pt>
                <c:pt idx="3">
                  <c:v>9742.6910000000007</c:v>
                </c:pt>
              </c:numCache>
            </c:numRef>
          </c:val>
          <c:extLst xmlns:c16r2="http://schemas.microsoft.com/office/drawing/2015/06/char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_-* #,##0_-;\-* #,##0_-;_-* "-"??_-;_-@_-</c:formatCode>
                <c:ptCount val="12"/>
                <c:pt idx="0">
                  <c:v>20584</c:v>
                </c:pt>
                <c:pt idx="1">
                  <c:v>70647.5</c:v>
                </c:pt>
                <c:pt idx="2">
                  <c:v>108898</c:v>
                </c:pt>
                <c:pt idx="3">
                  <c:v>100644.5</c:v>
                </c:pt>
              </c:numCache>
            </c:numRef>
          </c:val>
          <c:extLst xmlns:c16r2="http://schemas.microsoft.com/office/drawing/2015/06/char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_-* #,##0_-;\-* #,##0_-;_-* "-"??_-;_-@_-</c:formatCode>
                <c:ptCount val="12"/>
                <c:pt idx="0">
                  <c:v>31162.47</c:v>
                </c:pt>
                <c:pt idx="1">
                  <c:v>29151.453999999994</c:v>
                </c:pt>
                <c:pt idx="2">
                  <c:v>14146.085000000003</c:v>
                </c:pt>
                <c:pt idx="3">
                  <c:v>40904.041999999994</c:v>
                </c:pt>
              </c:numCache>
            </c:numRef>
          </c:val>
          <c:extLst xmlns:c16r2="http://schemas.microsoft.com/office/drawing/2015/06/char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_-* #,##0_-;\-* #,##0_-;_-* "-"??_-;_-@_-</c:formatCode>
                <c:ptCount val="12"/>
                <c:pt idx="0">
                  <c:v>101715</c:v>
                </c:pt>
                <c:pt idx="1">
                  <c:v>215551</c:v>
                </c:pt>
                <c:pt idx="2">
                  <c:v>194531.5</c:v>
                </c:pt>
                <c:pt idx="3">
                  <c:v>226187</c:v>
                </c:pt>
              </c:numCache>
            </c:numRef>
          </c:val>
          <c:extLst xmlns:c16r2="http://schemas.microsoft.com/office/drawing/2015/06/char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68478080"/>
        <c:axId val="68479616"/>
      </c:barChart>
      <c:dateAx>
        <c:axId val="68478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8479616"/>
        <c:crosses val="autoZero"/>
        <c:auto val="1"/>
        <c:lblOffset val="100"/>
        <c:baseTimeUnit val="months"/>
      </c:dateAx>
      <c:valAx>
        <c:axId val="68479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8478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_-* #,##0_-;\-* #,##0_-;_-* "-"??_-;_-@_-</c:formatCode>
                <c:ptCount val="12"/>
                <c:pt idx="0">
                  <c:v>29230.236000000001</c:v>
                </c:pt>
                <c:pt idx="1">
                  <c:v>38818.62200000001</c:v>
                </c:pt>
                <c:pt idx="2">
                  <c:v>36772.302999999993</c:v>
                </c:pt>
                <c:pt idx="3">
                  <c:v>9742.6910000000007</c:v>
                </c:pt>
              </c:numCache>
            </c:numRef>
          </c:val>
          <c:extLst xmlns:c16r2="http://schemas.microsoft.com/office/drawing/2015/06/char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_-* #,##0_-;\-* #,##0_-;_-* "-"??_-;_-@_-</c:formatCode>
                <c:ptCount val="12"/>
                <c:pt idx="0">
                  <c:v>20584</c:v>
                </c:pt>
                <c:pt idx="1">
                  <c:v>70647.5</c:v>
                </c:pt>
                <c:pt idx="2">
                  <c:v>108898</c:v>
                </c:pt>
                <c:pt idx="3">
                  <c:v>100644.5</c:v>
                </c:pt>
              </c:numCache>
            </c:numRef>
          </c:val>
          <c:extLst xmlns:c16r2="http://schemas.microsoft.com/office/drawing/2015/06/char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68524672"/>
        <c:axId val="68522752"/>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2.7400137846400008</c:v>
                </c:pt>
                <c:pt idx="1">
                  <c:v>0.63853029412799978</c:v>
                </c:pt>
                <c:pt idx="2">
                  <c:v>3.5447260446399995</c:v>
                </c:pt>
                <c:pt idx="3">
                  <c:v>0.19321358372800002</c:v>
                </c:pt>
              </c:numCache>
            </c:numRef>
          </c:val>
          <c:smooth val="0"/>
          <c:extLst xmlns:c16r2="http://schemas.microsoft.com/office/drawing/2015/06/char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68519040"/>
        <c:axId val="68520576"/>
      </c:lineChart>
      <c:dateAx>
        <c:axId val="68519040"/>
        <c:scaling>
          <c:orientation val="minMax"/>
        </c:scaling>
        <c:delete val="0"/>
        <c:axPos val="b"/>
        <c:numFmt formatCode="mmm\-yy" sourceLinked="1"/>
        <c:majorTickMark val="out"/>
        <c:minorTickMark val="none"/>
        <c:tickLblPos val="nextTo"/>
        <c:crossAx val="68520576"/>
        <c:crosses val="autoZero"/>
        <c:auto val="1"/>
        <c:lblOffset val="100"/>
        <c:baseTimeUnit val="months"/>
      </c:dateAx>
      <c:valAx>
        <c:axId val="68520576"/>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68519040"/>
        <c:crosses val="autoZero"/>
        <c:crossBetween val="between"/>
      </c:valAx>
      <c:valAx>
        <c:axId val="68522752"/>
        <c:scaling>
          <c:orientation val="minMax"/>
        </c:scaling>
        <c:delete val="0"/>
        <c:axPos val="r"/>
        <c:title>
          <c:tx>
            <c:rich>
              <a:bodyPr rot="-5400000" vert="horz"/>
              <a:lstStyle/>
              <a:p>
                <a:pPr>
                  <a:defRPr/>
                </a:pPr>
                <a:r>
                  <a:rPr lang="en-GB"/>
                  <a:t>Volume (MWh)</a:t>
                </a:r>
              </a:p>
            </c:rich>
          </c:tx>
          <c:layout/>
          <c:overlay val="0"/>
        </c:title>
        <c:numFmt formatCode="_-* #,##0_-;\-* #,##0_-;_-* &quot;-&quot;??_-;_-@_-" sourceLinked="1"/>
        <c:majorTickMark val="out"/>
        <c:minorTickMark val="none"/>
        <c:tickLblPos val="nextTo"/>
        <c:crossAx val="68524672"/>
        <c:crosses val="max"/>
        <c:crossBetween val="between"/>
      </c:valAx>
      <c:catAx>
        <c:axId val="68524672"/>
        <c:scaling>
          <c:orientation val="minMax"/>
        </c:scaling>
        <c:delete val="1"/>
        <c:axPos val="b"/>
        <c:majorTickMark val="out"/>
        <c:minorTickMark val="none"/>
        <c:tickLblPos val="nextTo"/>
        <c:crossAx val="68522752"/>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_-* #,##0_-;\-* #,##0_-;_-* "-"??_-;_-@_-</c:formatCode>
                <c:ptCount val="12"/>
                <c:pt idx="0">
                  <c:v>31162.47</c:v>
                </c:pt>
                <c:pt idx="1">
                  <c:v>29151.453999999994</c:v>
                </c:pt>
                <c:pt idx="2">
                  <c:v>14146.085000000003</c:v>
                </c:pt>
                <c:pt idx="3">
                  <c:v>40904.041999999994</c:v>
                </c:pt>
              </c:numCache>
            </c:numRef>
          </c:val>
          <c:extLst xmlns:c16r2="http://schemas.microsoft.com/office/drawing/2015/06/char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_-* #,##0_-;\-* #,##0_-;_-* "-"??_-;_-@_-</c:formatCode>
                <c:ptCount val="12"/>
                <c:pt idx="0">
                  <c:v>101715</c:v>
                </c:pt>
                <c:pt idx="1">
                  <c:v>215551</c:v>
                </c:pt>
                <c:pt idx="2">
                  <c:v>194531.5</c:v>
                </c:pt>
                <c:pt idx="3">
                  <c:v>226187</c:v>
                </c:pt>
              </c:numCache>
            </c:numRef>
          </c:val>
          <c:extLst xmlns:c16r2="http://schemas.microsoft.com/office/drawing/2015/06/char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68901120"/>
        <c:axId val="688992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1.1220409547104937</c:v>
                </c:pt>
                <c:pt idx="1">
                  <c:v>1.3614640063926633</c:v>
                </c:pt>
                <c:pt idx="2">
                  <c:v>0.24167062707101611</c:v>
                </c:pt>
                <c:pt idx="3">
                  <c:v>0.90010988438616746</c:v>
                </c:pt>
              </c:numCache>
            </c:numRef>
          </c:val>
          <c:smooth val="0"/>
          <c:extLst xmlns:c16r2="http://schemas.microsoft.com/office/drawing/2015/06/char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3.4256341829807981</c:v>
                </c:pt>
                <c:pt idx="1">
                  <c:v>8.4802055770717946</c:v>
                </c:pt>
                <c:pt idx="2">
                  <c:v>9.8497403128981453</c:v>
                </c:pt>
                <c:pt idx="3">
                  <c:v>11.216732253211353</c:v>
                </c:pt>
              </c:numCache>
            </c:numRef>
          </c:val>
          <c:smooth val="0"/>
          <c:extLst xmlns:c16r2="http://schemas.microsoft.com/office/drawing/2015/06/char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68891392"/>
        <c:axId val="68892928"/>
      </c:lineChart>
      <c:dateAx>
        <c:axId val="68891392"/>
        <c:scaling>
          <c:orientation val="minMax"/>
        </c:scaling>
        <c:delete val="0"/>
        <c:axPos val="b"/>
        <c:numFmt formatCode="mmm\-yy" sourceLinked="1"/>
        <c:majorTickMark val="out"/>
        <c:minorTickMark val="none"/>
        <c:tickLblPos val="nextTo"/>
        <c:crossAx val="68892928"/>
        <c:crosses val="autoZero"/>
        <c:auto val="1"/>
        <c:lblOffset val="100"/>
        <c:baseTimeUnit val="months"/>
      </c:dateAx>
      <c:valAx>
        <c:axId val="68892928"/>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68891392"/>
        <c:crosses val="autoZero"/>
        <c:crossBetween val="between"/>
      </c:valAx>
      <c:valAx>
        <c:axId val="68899200"/>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68901120"/>
        <c:crosses val="max"/>
        <c:crossBetween val="between"/>
      </c:valAx>
      <c:catAx>
        <c:axId val="68901120"/>
        <c:scaling>
          <c:orientation val="minMax"/>
        </c:scaling>
        <c:delete val="1"/>
        <c:axPos val="b"/>
        <c:majorTickMark val="out"/>
        <c:minorTickMark val="none"/>
        <c:tickLblPos val="nextTo"/>
        <c:crossAx val="688992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486056.89000000031</c:v>
                </c:pt>
                <c:pt idx="3">
                  <c:v>240083.21600000001</c:v>
                </c:pt>
              </c:numCache>
            </c:numRef>
          </c:val>
          <c:extLst xmlns:c16r2="http://schemas.microsoft.com/office/drawing/2015/06/char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36191.4</c:v>
                </c:pt>
                <c:pt idx="3">
                  <c:v>67527</c:v>
                </c:pt>
              </c:numCache>
            </c:numRef>
          </c:val>
          <c:extLst xmlns:c16r2="http://schemas.microsoft.com/office/drawing/2015/06/char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69035904"/>
        <c:axId val="6903398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18.765142204345864</c:v>
                </c:pt>
                <c:pt idx="1">
                  <c:v>13.595507872581498</c:v>
                </c:pt>
                <c:pt idx="2">
                  <c:v>31.706426889172153</c:v>
                </c:pt>
                <c:pt idx="3">
                  <c:v>23.142327037999269</c:v>
                </c:pt>
              </c:numCache>
            </c:numRef>
          </c:val>
          <c:smooth val="0"/>
          <c:extLst xmlns:c16r2="http://schemas.microsoft.com/office/drawing/2015/06/char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3.9531621856272401</c:v>
                </c:pt>
                <c:pt idx="1">
                  <c:v>10.332102736896459</c:v>
                </c:pt>
                <c:pt idx="2">
                  <c:v>15.618365026992388</c:v>
                </c:pt>
                <c:pt idx="3">
                  <c:v>15.814284003256748</c:v>
                </c:pt>
              </c:numCache>
            </c:numRef>
          </c:val>
          <c:smooth val="0"/>
          <c:extLst xmlns:c16r2="http://schemas.microsoft.com/office/drawing/2015/06/char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69026176"/>
        <c:axId val="69027712"/>
      </c:lineChart>
      <c:dateAx>
        <c:axId val="69026176"/>
        <c:scaling>
          <c:orientation val="minMax"/>
        </c:scaling>
        <c:delete val="0"/>
        <c:axPos val="b"/>
        <c:numFmt formatCode="mmm\-yy" sourceLinked="1"/>
        <c:majorTickMark val="out"/>
        <c:minorTickMark val="none"/>
        <c:tickLblPos val="nextTo"/>
        <c:crossAx val="69027712"/>
        <c:crosses val="autoZero"/>
        <c:auto val="1"/>
        <c:lblOffset val="100"/>
        <c:baseTimeUnit val="months"/>
      </c:dateAx>
      <c:valAx>
        <c:axId val="69027712"/>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69026176"/>
        <c:crosses val="autoZero"/>
        <c:crossBetween val="between"/>
      </c:valAx>
      <c:valAx>
        <c:axId val="69033984"/>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69035904"/>
        <c:crosses val="max"/>
        <c:crossBetween val="between"/>
      </c:valAx>
      <c:dateAx>
        <c:axId val="69035904"/>
        <c:scaling>
          <c:orientation val="minMax"/>
        </c:scaling>
        <c:delete val="1"/>
        <c:axPos val="b"/>
        <c:numFmt formatCode="mmm\-yy" sourceLinked="1"/>
        <c:majorTickMark val="out"/>
        <c:minorTickMark val="none"/>
        <c:tickLblPos val="nextTo"/>
        <c:crossAx val="6903398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1.6393653292760001E-2</c:v>
                </c:pt>
              </c:numCache>
            </c:numRef>
          </c:val>
          <c:extLst xmlns:c16r2="http://schemas.microsoft.com/office/drawing/2015/06/char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numCache>
            </c:numRef>
          </c:val>
          <c:extLst xmlns:c16r2="http://schemas.microsoft.com/office/drawing/2015/06/char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numCache>
            </c:numRef>
          </c:val>
          <c:extLst xmlns:c16r2="http://schemas.microsoft.com/office/drawing/2015/06/char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68651264"/>
        <c:axId val="68669440"/>
      </c:barChart>
      <c:dateAx>
        <c:axId val="686512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69440"/>
        <c:crosses val="autoZero"/>
        <c:auto val="1"/>
        <c:lblOffset val="100"/>
        <c:baseTimeUnit val="months"/>
      </c:dateAx>
      <c:valAx>
        <c:axId val="68669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512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-807.94100000000003</c:v>
                </c:pt>
              </c:numCache>
            </c:numRef>
          </c:val>
          <c:extLst xmlns:c16r2="http://schemas.microsoft.com/office/drawing/2015/06/char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numCache>
            </c:numRef>
          </c:val>
          <c:extLst xmlns:c16r2="http://schemas.microsoft.com/office/drawing/2015/06/char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numCache>
            </c:numRef>
          </c:val>
          <c:extLst xmlns:c16r2="http://schemas.microsoft.com/office/drawing/2015/06/char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68685184"/>
        <c:axId val="68691072"/>
      </c:barChart>
      <c:dateAx>
        <c:axId val="68685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91072"/>
        <c:crosses val="autoZero"/>
        <c:auto val="1"/>
        <c:lblOffset val="100"/>
        <c:baseTimeUnit val="months"/>
      </c:dateAx>
      <c:valAx>
        <c:axId val="686910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851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numCache>
            </c:numRef>
          </c:val>
          <c:extLst xmlns:c16r2="http://schemas.microsoft.com/office/drawing/2015/06/char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numCache>
            </c:numRef>
          </c:val>
          <c:extLst xmlns:c16r2="http://schemas.microsoft.com/office/drawing/2015/06/char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numCache>
            </c:numRef>
          </c:val>
          <c:extLst xmlns:c16r2="http://schemas.microsoft.com/office/drawing/2015/06/char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41457152"/>
        <c:axId val="41458688"/>
      </c:barChart>
      <c:dateAx>
        <c:axId val="414571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58688"/>
        <c:crosses val="autoZero"/>
        <c:auto val="1"/>
        <c:lblOffset val="100"/>
        <c:baseTimeUnit val="months"/>
      </c:dateAx>
      <c:valAx>
        <c:axId val="41458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5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1.2439064946892198</c:v>
                </c:pt>
                <c:pt idx="1">
                  <c:v>1.1411545099957201</c:v>
                </c:pt>
                <c:pt idx="2">
                  <c:v>1.0350830117779699</c:v>
                </c:pt>
                <c:pt idx="3">
                  <c:v>1.10678361505595</c:v>
                </c:pt>
              </c:numCache>
            </c:numRef>
          </c:val>
          <c:extLst xmlns:c16r2="http://schemas.microsoft.com/office/drawing/2015/06/char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4.1843799400000004</c:v>
                </c:pt>
                <c:pt idx="3">
                  <c:v>5.6597566999999991</c:v>
                </c:pt>
              </c:numCache>
            </c:numRef>
          </c:val>
          <c:extLst xmlns:c16r2="http://schemas.microsoft.com/office/drawing/2015/06/char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1.3649919999999991E-2</c:v>
                </c:pt>
              </c:numCache>
            </c:numRef>
          </c:val>
          <c:extLst xmlns:c16r2="http://schemas.microsoft.com/office/drawing/2015/06/char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5.1529749999999971E-2</c:v>
                </c:pt>
              </c:numCache>
            </c:numRef>
          </c:val>
          <c:extLst xmlns:c16r2="http://schemas.microsoft.com/office/drawing/2015/06/char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0.4831000000000002</c:v>
                </c:pt>
                <c:pt idx="3">
                  <c:v>0.48825000000000024</c:v>
                </c:pt>
              </c:numCache>
            </c:numRef>
          </c:val>
          <c:extLst xmlns:c16r2="http://schemas.microsoft.com/office/drawing/2015/06/char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0.38680249999999977</c:v>
                </c:pt>
              </c:numCache>
            </c:numRef>
          </c:val>
          <c:extLst xmlns:c16r2="http://schemas.microsoft.com/office/drawing/2015/06/char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0.18238136999999993</c:v>
                </c:pt>
              </c:numCache>
            </c:numRef>
          </c:val>
          <c:extLst xmlns:c16r2="http://schemas.microsoft.com/office/drawing/2015/06/char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41538688"/>
        <c:axId val="41540224"/>
      </c:barChart>
      <c:dateAx>
        <c:axId val="415386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0224"/>
        <c:crosses val="autoZero"/>
        <c:auto val="1"/>
        <c:lblOffset val="100"/>
        <c:baseTimeUnit val="months"/>
      </c:dateAx>
      <c:valAx>
        <c:axId val="41540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38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0.93277578673537997</c:v>
                </c:pt>
                <c:pt idx="1">
                  <c:v>1.3639906408508395</c:v>
                </c:pt>
                <c:pt idx="2">
                  <c:v>1.0084221412504</c:v>
                </c:pt>
                <c:pt idx="3">
                  <c:v>1.5431241204595996</c:v>
                </c:pt>
              </c:numCache>
            </c:numRef>
          </c:val>
          <c:extLst xmlns:c16r2="http://schemas.microsoft.com/office/drawing/2015/06/char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1.00741858</c:v>
                </c:pt>
                <c:pt idx="1">
                  <c:v>1.2940283699999999</c:v>
                </c:pt>
                <c:pt idx="2">
                  <c:v>0.83104107999999999</c:v>
                </c:pt>
                <c:pt idx="3">
                  <c:v>1.4231160200000006</c:v>
                </c:pt>
              </c:numCache>
            </c:numRef>
          </c:val>
          <c:extLst xmlns:c16r2="http://schemas.microsoft.com/office/drawing/2015/06/char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numCache>
            </c:numRef>
          </c:val>
          <c:extLst xmlns:c16r2="http://schemas.microsoft.com/office/drawing/2015/06/char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numCache>
            </c:numRef>
          </c:val>
          <c:extLst xmlns:c16r2="http://schemas.microsoft.com/office/drawing/2015/06/char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numCache>
            </c:numRef>
          </c:val>
          <c:extLst xmlns:c16r2="http://schemas.microsoft.com/office/drawing/2015/06/char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numCache>
            </c:numRef>
          </c:val>
          <c:extLst xmlns:c16r2="http://schemas.microsoft.com/office/drawing/2015/06/char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numCache>
            </c:numRef>
          </c:val>
          <c:extLst xmlns:c16r2="http://schemas.microsoft.com/office/drawing/2015/06/char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1.0104671499999993</c:v>
                </c:pt>
                <c:pt idx="3">
                  <c:v>1.0850000000000004</c:v>
                </c:pt>
              </c:numCache>
            </c:numRef>
          </c:val>
          <c:extLst xmlns:c16r2="http://schemas.microsoft.com/office/drawing/2015/06/char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0.71148004000000009</c:v>
                </c:pt>
              </c:numCache>
            </c:numRef>
          </c:val>
          <c:extLst xmlns:c16r2="http://schemas.microsoft.com/office/drawing/2015/06/char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0.10699527999999996</c:v>
                </c:pt>
                <c:pt idx="1">
                  <c:v>0.10449944999999995</c:v>
                </c:pt>
                <c:pt idx="2">
                  <c:v>9.9662400000000026E-2</c:v>
                </c:pt>
                <c:pt idx="3">
                  <c:v>6.8091350000000037E-2</c:v>
                </c:pt>
              </c:numCache>
            </c:numRef>
          </c:val>
          <c:extLst xmlns:c16r2="http://schemas.microsoft.com/office/drawing/2015/06/char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3.6156740000000003</c:v>
                </c:pt>
                <c:pt idx="3">
                  <c:v>1.2472499999999997</c:v>
                </c:pt>
              </c:numCache>
            </c:numRef>
          </c:val>
          <c:extLst xmlns:c16r2="http://schemas.microsoft.com/office/drawing/2015/06/char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0.89147339000000003</c:v>
                </c:pt>
                <c:pt idx="3">
                  <c:v>0.57234756000000009</c:v>
                </c:pt>
              </c:numCache>
            </c:numRef>
          </c:val>
          <c:extLst xmlns:c16r2="http://schemas.microsoft.com/office/drawing/2015/06/char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2.9607821000000003</c:v>
                </c:pt>
                <c:pt idx="1">
                  <c:v>3.0617169700000004</c:v>
                </c:pt>
                <c:pt idx="2">
                  <c:v>3.0741388499999998</c:v>
                </c:pt>
                <c:pt idx="3">
                  <c:v>2.9885721599999999</c:v>
                </c:pt>
              </c:numCache>
            </c:numRef>
          </c:val>
          <c:extLst xmlns:c16r2="http://schemas.microsoft.com/office/drawing/2015/06/char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155584"/>
        <c:axId val="41313024"/>
      </c:barChart>
      <c:dateAx>
        <c:axId val="411555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024"/>
        <c:crosses val="autoZero"/>
        <c:auto val="1"/>
        <c:lblOffset val="100"/>
        <c:baseTimeUnit val="months"/>
      </c:dateAx>
      <c:valAx>
        <c:axId val="413130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155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numCache>
            </c:numRef>
          </c:val>
          <c:extLst xmlns:c16r2="http://schemas.microsoft.com/office/drawing/2015/06/char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299213.77400000003</c:v>
                </c:pt>
                <c:pt idx="1">
                  <c:v>319094.06400000001</c:v>
                </c:pt>
                <c:pt idx="2">
                  <c:v>424522.16899999988</c:v>
                </c:pt>
                <c:pt idx="3">
                  <c:v>470879.76899999997</c:v>
                </c:pt>
              </c:numCache>
            </c:numRef>
          </c:val>
          <c:extLst xmlns:c16r2="http://schemas.microsoft.com/office/drawing/2015/06/char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1523.3530000000001</c:v>
                </c:pt>
                <c:pt idx="1">
                  <c:v>802.3599999999999</c:v>
                </c:pt>
                <c:pt idx="2">
                  <c:v>856.43999999999994</c:v>
                </c:pt>
                <c:pt idx="3">
                  <c:v>1569.425</c:v>
                </c:pt>
              </c:numCache>
            </c:numRef>
          </c:val>
          <c:extLst xmlns:c16r2="http://schemas.microsoft.com/office/drawing/2015/06/char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409083.34</c:v>
                </c:pt>
                <c:pt idx="1">
                  <c:v>529712.31300000008</c:v>
                </c:pt>
                <c:pt idx="2">
                  <c:v>876596.17799999996</c:v>
                </c:pt>
                <c:pt idx="3">
                  <c:v>685088.44899999979</c:v>
                </c:pt>
              </c:numCache>
            </c:numRef>
          </c:val>
          <c:extLst xmlns:c16r2="http://schemas.microsoft.com/office/drawing/2015/06/char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303671.005</c:v>
                </c:pt>
                <c:pt idx="1">
                  <c:v>412358.67200000002</c:v>
                </c:pt>
                <c:pt idx="2">
                  <c:v>767406.46799999976</c:v>
                </c:pt>
                <c:pt idx="3">
                  <c:v>688265.91200000001</c:v>
                </c:pt>
              </c:numCache>
            </c:numRef>
          </c:val>
          <c:extLst xmlns:c16r2="http://schemas.microsoft.com/office/drawing/2015/06/char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-27898.498999999996</c:v>
                </c:pt>
              </c:numCache>
            </c:numRef>
          </c:val>
          <c:extLst xmlns:c16r2="http://schemas.microsoft.com/office/drawing/2015/06/char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25343.830999999998</c:v>
                </c:pt>
                <c:pt idx="1">
                  <c:v>23446.991000000009</c:v>
                </c:pt>
                <c:pt idx="2">
                  <c:v>27381.694000000003</c:v>
                </c:pt>
                <c:pt idx="3">
                  <c:v>26432.097999999998</c:v>
                </c:pt>
              </c:numCache>
            </c:numRef>
          </c:val>
          <c:extLst xmlns:c16r2="http://schemas.microsoft.com/office/drawing/2015/06/char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numCache>
            </c:numRef>
          </c:val>
          <c:extLst xmlns:c16r2="http://schemas.microsoft.com/office/drawing/2015/06/char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-188331.05100000004</c:v>
                </c:pt>
                <c:pt idx="1">
                  <c:v>-131056.227</c:v>
                </c:pt>
                <c:pt idx="2">
                  <c:v>-35809.368000000002</c:v>
                </c:pt>
                <c:pt idx="3">
                  <c:v>-102329.86100000002</c:v>
                </c:pt>
              </c:numCache>
            </c:numRef>
          </c:val>
          <c:extLst xmlns:c16r2="http://schemas.microsoft.com/office/drawing/2015/06/char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65578496"/>
        <c:axId val="65580032"/>
      </c:barChart>
      <c:dateAx>
        <c:axId val="65578496"/>
        <c:scaling>
          <c:orientation val="minMax"/>
        </c:scaling>
        <c:delete val="0"/>
        <c:axPos val="b"/>
        <c:numFmt formatCode="mmm\-yy" sourceLinked="1"/>
        <c:majorTickMark val="out"/>
        <c:minorTickMark val="none"/>
        <c:tickLblPos val="nextTo"/>
        <c:crossAx val="65580032"/>
        <c:crosses val="autoZero"/>
        <c:auto val="1"/>
        <c:lblOffset val="100"/>
        <c:baseTimeUnit val="months"/>
      </c:dateAx>
      <c:valAx>
        <c:axId val="65580032"/>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6557849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Response!$C$37:$AL$37</c:f>
              <c:numCache>
                <c:formatCode>_-* #,##0_-;\-* #,##0_-;_-* "-"??_-;_-@_-</c:formatCode>
                <c:ptCount val="36"/>
                <c:pt idx="0">
                  <c:v>107.66171799999999</c:v>
                </c:pt>
                <c:pt idx="1">
                  <c:v>66.922085999999993</c:v>
                </c:pt>
                <c:pt idx="2">
                  <c:v>185.46653700000002</c:v>
                </c:pt>
                <c:pt idx="3">
                  <c:v>150.171685</c:v>
                </c:pt>
                <c:pt idx="4">
                  <c:v>91.998910000000009</c:v>
                </c:pt>
                <c:pt idx="5">
                  <c:v>233.097589</c:v>
                </c:pt>
                <c:pt idx="6">
                  <c:v>104.56159099999999</c:v>
                </c:pt>
                <c:pt idx="7">
                  <c:v>57.607064000000015</c:v>
                </c:pt>
                <c:pt idx="8">
                  <c:v>144.29933500000001</c:v>
                </c:pt>
                <c:pt idx="9">
                  <c:v>151.506822</c:v>
                </c:pt>
                <c:pt idx="10">
                  <c:v>97.958865000000046</c:v>
                </c:pt>
                <c:pt idx="11">
                  <c:v>257.62508700000001</c:v>
                </c:pt>
              </c:numCache>
            </c:numRef>
          </c:val>
          <c:extLst xmlns:c16r2="http://schemas.microsoft.com/office/drawing/2015/06/char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Response!$C$38:$AL$38</c:f>
              <c:numCache>
                <c:formatCode>_-* #,##0_-;\-* #,##0_-;_-* "-"??_-;_-@_-</c:formatCode>
                <c:ptCount val="36"/>
                <c:pt idx="0">
                  <c:v>0</c:v>
                </c:pt>
                <c:pt idx="1">
                  <c:v>1.6876800000000001</c:v>
                </c:pt>
                <c:pt idx="2">
                  <c:v>0</c:v>
                </c:pt>
                <c:pt idx="3">
                  <c:v>0</c:v>
                </c:pt>
                <c:pt idx="4">
                  <c:v>2.0441700000000003</c:v>
                </c:pt>
                <c:pt idx="5">
                  <c:v>0</c:v>
                </c:pt>
                <c:pt idx="6">
                  <c:v>0</c:v>
                </c:pt>
                <c:pt idx="7">
                  <c:v>1.3448699999999998</c:v>
                </c:pt>
                <c:pt idx="8">
                  <c:v>0</c:v>
                </c:pt>
                <c:pt idx="9">
                  <c:v>0</c:v>
                </c:pt>
                <c:pt idx="10">
                  <c:v>3.02129</c:v>
                </c:pt>
                <c:pt idx="11">
                  <c:v>0</c:v>
                </c:pt>
              </c:numCache>
            </c:numRef>
          </c:val>
          <c:extLst xmlns:c16r2="http://schemas.microsoft.com/office/drawing/2015/06/char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Response!$C$39:$AL$39</c:f>
              <c:numCache>
                <c:formatCode>_-* #,##0_-;\-* #,##0_-;_-* "-"??_-;_-@_-</c:formatCode>
                <c:ptCount val="36"/>
                <c:pt idx="0">
                  <c:v>29.234099999999998</c:v>
                </c:pt>
                <c:pt idx="1">
                  <c:v>36.194600000000001</c:v>
                </c:pt>
                <c:pt idx="2">
                  <c:v>0</c:v>
                </c:pt>
                <c:pt idx="3">
                  <c:v>49.249199999999995</c:v>
                </c:pt>
                <c:pt idx="4">
                  <c:v>60.975199999999994</c:v>
                </c:pt>
                <c:pt idx="5">
                  <c:v>0</c:v>
                </c:pt>
                <c:pt idx="6">
                  <c:v>42.529199999999996</c:v>
                </c:pt>
                <c:pt idx="7">
                  <c:v>52.655199999999994</c:v>
                </c:pt>
                <c:pt idx="8">
                  <c:v>0</c:v>
                </c:pt>
                <c:pt idx="9">
                  <c:v>27.7683</c:v>
                </c:pt>
                <c:pt idx="10">
                  <c:v>34.379800000000003</c:v>
                </c:pt>
                <c:pt idx="11">
                  <c:v>0</c:v>
                </c:pt>
              </c:numCache>
            </c:numRef>
          </c:val>
          <c:extLst xmlns:c16r2="http://schemas.microsoft.com/office/drawing/2015/06/char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Response!$C$43:$AL$43</c:f>
              <c:numCache>
                <c:formatCode>_-* #,##0_-;\-* #,##0_-;_-* "-"??_-;_-@_-</c:formatCode>
                <c:ptCount val="36"/>
                <c:pt idx="0">
                  <c:v>0</c:v>
                </c:pt>
                <c:pt idx="1">
                  <c:v>85.038610000000006</c:v>
                </c:pt>
                <c:pt idx="2">
                  <c:v>6.7119999999999997</c:v>
                </c:pt>
                <c:pt idx="3">
                  <c:v>0</c:v>
                </c:pt>
                <c:pt idx="4">
                  <c:v>76.509529999999998</c:v>
                </c:pt>
                <c:pt idx="5">
                  <c:v>4.1520000000000001</c:v>
                </c:pt>
                <c:pt idx="6">
                  <c:v>0</c:v>
                </c:pt>
                <c:pt idx="7">
                  <c:v>82.753248521882369</c:v>
                </c:pt>
                <c:pt idx="8">
                  <c:v>0.66400000000000003</c:v>
                </c:pt>
                <c:pt idx="9">
                  <c:v>0</c:v>
                </c:pt>
                <c:pt idx="10">
                  <c:v>114.38388892087407</c:v>
                </c:pt>
                <c:pt idx="11">
                  <c:v>0.08</c:v>
                </c:pt>
              </c:numCache>
            </c:numRef>
          </c:val>
          <c:extLst xmlns:c16r2="http://schemas.microsoft.com/office/drawing/2015/06/char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Response!$C$45:$AL$45</c:f>
              <c:numCache>
                <c:formatCode>_-* #,##0_-;\-* #,##0_-;_-* "-"??_-;_-@_-</c:formatCode>
                <c:ptCount val="36"/>
                <c:pt idx="0">
                  <c:v>225.922</c:v>
                </c:pt>
                <c:pt idx="1">
                  <c:v>190.672</c:v>
                </c:pt>
                <c:pt idx="2">
                  <c:v>111.76</c:v>
                </c:pt>
                <c:pt idx="3">
                  <c:v>235.45599999999999</c:v>
                </c:pt>
                <c:pt idx="4">
                  <c:v>198.86079999999998</c:v>
                </c:pt>
                <c:pt idx="5">
                  <c:v>120.956</c:v>
                </c:pt>
                <c:pt idx="6">
                  <c:v>228.49799999999999</c:v>
                </c:pt>
                <c:pt idx="7">
                  <c:v>192.779</c:v>
                </c:pt>
                <c:pt idx="8">
                  <c:v>100.66</c:v>
                </c:pt>
                <c:pt idx="9">
                  <c:v>82.286000000000001</c:v>
                </c:pt>
                <c:pt idx="10">
                  <c:v>53.050599999999996</c:v>
                </c:pt>
                <c:pt idx="11">
                  <c:v>0</c:v>
                </c:pt>
              </c:numCache>
            </c:numRef>
          </c:val>
          <c:extLst xmlns:c16r2="http://schemas.microsoft.com/office/drawing/2015/06/char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Response!$C$46:$AL$46</c:f>
              <c:numCache>
                <c:formatCode>_-* #,##0_-;\-* #,##0_-;_-* "-"??_-;_-@_-</c:formatCode>
                <c:ptCount val="36"/>
                <c:pt idx="0">
                  <c:v>83.197559999999996</c:v>
                </c:pt>
                <c:pt idx="1">
                  <c:v>250.39447250000001</c:v>
                </c:pt>
                <c:pt idx="2">
                  <c:v>102.00756</c:v>
                </c:pt>
                <c:pt idx="3">
                  <c:v>125.42358</c:v>
                </c:pt>
                <c:pt idx="4">
                  <c:v>305.35553000000004</c:v>
                </c:pt>
                <c:pt idx="5">
                  <c:v>122.27358</c:v>
                </c:pt>
                <c:pt idx="6">
                  <c:v>137.73099999999999</c:v>
                </c:pt>
                <c:pt idx="7">
                  <c:v>336.12</c:v>
                </c:pt>
                <c:pt idx="8">
                  <c:v>143.881</c:v>
                </c:pt>
                <c:pt idx="9">
                  <c:v>121.842</c:v>
                </c:pt>
                <c:pt idx="10">
                  <c:v>353.32728000000003</c:v>
                </c:pt>
                <c:pt idx="11">
                  <c:v>111.977</c:v>
                </c:pt>
              </c:numCache>
            </c:numRef>
          </c:val>
          <c:extLst xmlns:c16r2="http://schemas.microsoft.com/office/drawing/2015/06/char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78944"/>
        <c:axId val="41380480"/>
      </c:barChart>
      <c:catAx>
        <c:axId val="41378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0480"/>
        <c:crosses val="autoZero"/>
        <c:auto val="1"/>
        <c:lblAlgn val="ctr"/>
        <c:lblOffset val="100"/>
        <c:noMultiLvlLbl val="0"/>
      </c:catAx>
      <c:valAx>
        <c:axId val="4138048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89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6.2478118499999997</c:v>
                </c:pt>
                <c:pt idx="1">
                  <c:v>6.9271013999999997</c:v>
                </c:pt>
                <c:pt idx="2">
                  <c:v>7.2290487599999986</c:v>
                </c:pt>
                <c:pt idx="3">
                  <c:v>6.4550056199999988</c:v>
                </c:pt>
              </c:numCache>
            </c:numRef>
          </c:val>
          <c:extLst xmlns:c16r2="http://schemas.microsoft.com/office/drawing/2015/06/char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numCache>
            </c:numRef>
          </c:val>
          <c:extLst xmlns:c16r2="http://schemas.microsoft.com/office/drawing/2015/06/char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5.9100780390203389E-2</c:v>
                </c:pt>
                <c:pt idx="1">
                  <c:v>9.1576532025000004E-2</c:v>
                </c:pt>
                <c:pt idx="2">
                  <c:v>9.1576500000000019E-2</c:v>
                </c:pt>
                <c:pt idx="3">
                  <c:v>9.157647999999996E-2</c:v>
                </c:pt>
              </c:numCache>
            </c:numRef>
          </c:val>
          <c:extLst xmlns:c16r2="http://schemas.microsoft.com/office/drawing/2015/06/char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41911808"/>
        <c:axId val="41913344"/>
      </c:barChart>
      <c:dateAx>
        <c:axId val="419118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3344"/>
        <c:crosses val="autoZero"/>
        <c:auto val="1"/>
        <c:lblOffset val="100"/>
        <c:baseTimeUnit val="months"/>
      </c:dateAx>
      <c:valAx>
        <c:axId val="41913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1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2115437.9500000002</c:v>
                </c:pt>
                <c:pt idx="1">
                  <c:v>2364237.4300000002</c:v>
                </c:pt>
                <c:pt idx="2">
                  <c:v>2412139.4500000002</c:v>
                </c:pt>
                <c:pt idx="3">
                  <c:v>2087880.81</c:v>
                </c:pt>
              </c:numCache>
            </c:numRef>
          </c:val>
          <c:extLst xmlns:c16r2="http://schemas.microsoft.com/office/drawing/2015/06/char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numCache>
            </c:numRef>
          </c:val>
          <c:extLst xmlns:c16r2="http://schemas.microsoft.com/office/drawing/2015/06/char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41968000"/>
        <c:axId val="41969536"/>
      </c:barChart>
      <c:dateAx>
        <c:axId val="419680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9536"/>
        <c:crosses val="autoZero"/>
        <c:auto val="1"/>
        <c:lblOffset val="100"/>
        <c:baseTimeUnit val="months"/>
      </c:dateAx>
      <c:valAx>
        <c:axId val="419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8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3.0747221499999999</c:v>
                </c:pt>
                <c:pt idx="3">
                  <c:v>2.5550446800000004</c:v>
                </c:pt>
              </c:numCache>
            </c:numRef>
          </c:val>
          <c:extLst xmlns:c16r2="http://schemas.microsoft.com/office/drawing/2015/06/char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numCache>
            </c:numRef>
          </c:val>
          <c:extLst xmlns:c16r2="http://schemas.microsoft.com/office/drawing/2015/06/char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numCache>
            </c:numRef>
          </c:val>
          <c:extLst xmlns:c16r2="http://schemas.microsoft.com/office/drawing/2015/06/char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numCache>
            </c:numRef>
          </c:val>
          <c:extLst xmlns:c16r2="http://schemas.microsoft.com/office/drawing/2015/06/char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41602432"/>
        <c:axId val="41612416"/>
      </c:barChart>
      <c:dateAx>
        <c:axId val="416024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12416"/>
        <c:crosses val="autoZero"/>
        <c:auto val="1"/>
        <c:lblOffset val="100"/>
        <c:baseTimeUnit val="months"/>
      </c:dateAx>
      <c:valAx>
        <c:axId val="4161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024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numCache>
            </c:numRef>
          </c:val>
          <c:extLst xmlns:c16r2="http://schemas.microsoft.com/office/drawing/2015/06/char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3.0049000000000017E-2</c:v>
                </c:pt>
                <c:pt idx="2">
                  <c:v>3.8986970000000003E-2</c:v>
                </c:pt>
                <c:pt idx="3">
                  <c:v>3.1000000000000021E-2</c:v>
                </c:pt>
              </c:numCache>
            </c:numRef>
          </c:val>
          <c:extLst xmlns:c16r2="http://schemas.microsoft.com/office/drawing/2015/06/char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0.34117578999999998</c:v>
                </c:pt>
                <c:pt idx="1">
                  <c:v>0.33919562000000009</c:v>
                </c:pt>
                <c:pt idx="2">
                  <c:v>0.30768517000000006</c:v>
                </c:pt>
                <c:pt idx="3">
                  <c:v>0.34419988999999979</c:v>
                </c:pt>
              </c:numCache>
            </c:numRef>
          </c:val>
          <c:extLst xmlns:c16r2="http://schemas.microsoft.com/office/drawing/2015/06/char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0.39767002000000007</c:v>
                </c:pt>
                <c:pt idx="3">
                  <c:v>0.55676584000000007</c:v>
                </c:pt>
              </c:numCache>
            </c:numRef>
          </c:val>
          <c:extLst xmlns:c16r2="http://schemas.microsoft.com/office/drawing/2015/06/char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41798272"/>
        <c:axId val="41808256"/>
      </c:barChart>
      <c:dateAx>
        <c:axId val="417982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auto val="1"/>
        <c:lblOffset val="100"/>
        <c:baseTimeUnit val="months"/>
      </c:dateAx>
      <c:valAx>
        <c:axId val="41808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98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1.2149987460538103</c:v>
                </c:pt>
                <c:pt idx="1">
                  <c:v>1.1487399109324099</c:v>
                </c:pt>
                <c:pt idx="2">
                  <c:v>1.5910037236083103</c:v>
                </c:pt>
                <c:pt idx="3">
                  <c:v>1.5077516180486001</c:v>
                </c:pt>
              </c:numCache>
            </c:numRef>
          </c:val>
          <c:extLst xmlns:c16r2="http://schemas.microsoft.com/office/drawing/2015/06/char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-0.10187188744483</c:v>
                </c:pt>
                <c:pt idx="2">
                  <c:v>-0.24659000149506999</c:v>
                </c:pt>
                <c:pt idx="3">
                  <c:v>-7.7968851847920004E-2</c:v>
                </c:pt>
              </c:numCache>
            </c:numRef>
          </c:val>
          <c:extLst xmlns:c16r2="http://schemas.microsoft.com/office/drawing/2015/06/char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0.14738711999999998</c:v>
                </c:pt>
                <c:pt idx="1">
                  <c:v>0</c:v>
                </c:pt>
                <c:pt idx="2">
                  <c:v>0</c:v>
                </c:pt>
                <c:pt idx="3">
                  <c:v>0</c:v>
                </c:pt>
              </c:numCache>
            </c:numRef>
          </c:val>
          <c:extLst xmlns:c16r2="http://schemas.microsoft.com/office/drawing/2015/06/char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-0.60872333499986264</c:v>
                </c:pt>
                <c:pt idx="1">
                  <c:v>-0.71759372700004176</c:v>
                </c:pt>
                <c:pt idx="2">
                  <c:v>-0.89792285999987143</c:v>
                </c:pt>
                <c:pt idx="3">
                  <c:v>-1.0048853130000577</c:v>
                </c:pt>
              </c:numCache>
            </c:numRef>
          </c:val>
          <c:extLst xmlns:c16r2="http://schemas.microsoft.com/office/drawing/2015/06/char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42133760"/>
        <c:axId val="42135552"/>
      </c:barChart>
      <c:dateAx>
        <c:axId val="42133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35552"/>
        <c:crosses val="autoZero"/>
        <c:auto val="1"/>
        <c:lblOffset val="100"/>
        <c:baseTimeUnit val="months"/>
      </c:dateAx>
      <c:valAx>
        <c:axId val="42135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33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numCache>
            </c:numRef>
          </c:val>
          <c:extLst xmlns:c16r2="http://schemas.microsoft.com/office/drawing/2015/06/char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2.5151462703844705</c:v>
                </c:pt>
                <c:pt idx="1">
                  <c:v>2.1671162350851598</c:v>
                </c:pt>
                <c:pt idx="2">
                  <c:v>0.84352933152058007</c:v>
                </c:pt>
                <c:pt idx="3">
                  <c:v>1.9906922305516099</c:v>
                </c:pt>
              </c:numCache>
            </c:numRef>
          </c:val>
          <c:extLst xmlns:c16r2="http://schemas.microsoft.com/office/drawing/2015/06/char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7.5542247806790003E-2</c:v>
                </c:pt>
                <c:pt idx="1">
                  <c:v>4.1343767424000005E-2</c:v>
                </c:pt>
                <c:pt idx="2">
                  <c:v>3.3740635283049991E-2</c:v>
                </c:pt>
                <c:pt idx="3">
                  <c:v>0.12881977397467001</c:v>
                </c:pt>
              </c:numCache>
            </c:numRef>
          </c:val>
          <c:extLst xmlns:c16r2="http://schemas.microsoft.com/office/drawing/2015/06/char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1.5418544912971104</c:v>
                </c:pt>
                <c:pt idx="1">
                  <c:v>1.9115607008938198</c:v>
                </c:pt>
                <c:pt idx="2">
                  <c:v>2.2672596151643902</c:v>
                </c:pt>
                <c:pt idx="3">
                  <c:v>2.4010604574041801</c:v>
                </c:pt>
              </c:numCache>
            </c:numRef>
          </c:val>
          <c:extLst xmlns:c16r2="http://schemas.microsoft.com/office/drawing/2015/06/char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5.4836200860892985</c:v>
                </c:pt>
                <c:pt idx="1">
                  <c:v>10.703076720636238</c:v>
                </c:pt>
                <c:pt idx="2">
                  <c:v>19.718925942600197</c:v>
                </c:pt>
                <c:pt idx="3">
                  <c:v>22.079381621213891</c:v>
                </c:pt>
              </c:numCache>
            </c:numRef>
          </c:val>
          <c:extLst xmlns:c16r2="http://schemas.microsoft.com/office/drawing/2015/06/char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13.20130082284664</c:v>
                </c:pt>
                <c:pt idx="1">
                  <c:v>1.3786020702535</c:v>
                </c:pt>
                <c:pt idx="2">
                  <c:v>7.21859901546489</c:v>
                </c:pt>
                <c:pt idx="3">
                  <c:v>0.82944362566837992</c:v>
                </c:pt>
              </c:numCache>
            </c:numRef>
          </c:val>
          <c:extLst xmlns:c16r2="http://schemas.microsoft.com/office/drawing/2015/06/char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8.0221295409930005E-2</c:v>
                </c:pt>
                <c:pt idx="1">
                  <c:v>1.5138290816917899</c:v>
                </c:pt>
                <c:pt idx="2">
                  <c:v>4.7689019311071004</c:v>
                </c:pt>
                <c:pt idx="3">
                  <c:v>0.23350179111698999</c:v>
                </c:pt>
              </c:numCache>
            </c:numRef>
          </c:val>
          <c:extLst xmlns:c16r2="http://schemas.microsoft.com/office/drawing/2015/06/char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1.6393653292760001E-2</c:v>
                </c:pt>
              </c:numCache>
            </c:numRef>
          </c:val>
          <c:extLst xmlns:c16r2="http://schemas.microsoft.com/office/drawing/2015/06/char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1.2439064946892198</c:v>
                </c:pt>
                <c:pt idx="1">
                  <c:v>1.1411545099957201</c:v>
                </c:pt>
                <c:pt idx="2">
                  <c:v>1.0350830117779699</c:v>
                </c:pt>
                <c:pt idx="3">
                  <c:v>1.10678361505595</c:v>
                </c:pt>
              </c:numCache>
            </c:numRef>
          </c:val>
          <c:extLst xmlns:c16r2="http://schemas.microsoft.com/office/drawing/2015/06/char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0.93277578673537997</c:v>
                </c:pt>
                <c:pt idx="1">
                  <c:v>1.3639906408508395</c:v>
                </c:pt>
                <c:pt idx="2">
                  <c:v>1.0084221412504</c:v>
                </c:pt>
                <c:pt idx="3">
                  <c:v>1.5431241204595996</c:v>
                </c:pt>
              </c:numCache>
            </c:numRef>
          </c:val>
          <c:extLst xmlns:c16r2="http://schemas.microsoft.com/office/drawing/2015/06/char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1.2149987460538103</c:v>
                </c:pt>
                <c:pt idx="1">
                  <c:v>1.1487399109324099</c:v>
                </c:pt>
                <c:pt idx="2">
                  <c:v>1.5910037236083103</c:v>
                </c:pt>
                <c:pt idx="3">
                  <c:v>1.5077516180486001</c:v>
                </c:pt>
              </c:numCache>
            </c:numRef>
          </c:val>
          <c:extLst xmlns:c16r2="http://schemas.microsoft.com/office/drawing/2015/06/char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65979904"/>
        <c:axId val="65981440"/>
      </c:barChart>
      <c:dateAx>
        <c:axId val="65979904"/>
        <c:scaling>
          <c:orientation val="minMax"/>
        </c:scaling>
        <c:delete val="0"/>
        <c:axPos val="b"/>
        <c:numFmt formatCode="mmm\-yy" sourceLinked="1"/>
        <c:majorTickMark val="out"/>
        <c:minorTickMark val="none"/>
        <c:tickLblPos val="nextTo"/>
        <c:crossAx val="65981440"/>
        <c:crosses val="autoZero"/>
        <c:auto val="1"/>
        <c:lblOffset val="100"/>
        <c:baseTimeUnit val="months"/>
      </c:dateAx>
      <c:valAx>
        <c:axId val="65981440"/>
        <c:scaling>
          <c:orientation val="minMax"/>
        </c:scaling>
        <c:delete val="0"/>
        <c:axPos val="l"/>
        <c:majorGridlines/>
        <c:title>
          <c:tx>
            <c:rich>
              <a:bodyPr rot="-5400000" vert="horz"/>
              <a:lstStyle/>
              <a:p>
                <a:pPr>
                  <a:defRPr/>
                </a:pPr>
                <a:r>
                  <a:rPr lang="en-GB" sz="1100"/>
                  <a:t>Cost (£m)</a:t>
                </a:r>
              </a:p>
            </c:rich>
          </c:tx>
          <c:layout/>
          <c:overlay val="0"/>
        </c:title>
        <c:numFmt formatCode="0.00" sourceLinked="1"/>
        <c:majorTickMark val="out"/>
        <c:minorTickMark val="none"/>
        <c:tickLblPos val="nextTo"/>
        <c:crossAx val="6597990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numCache>
            </c:numRef>
          </c:val>
          <c:extLst xmlns:c16r2="http://schemas.microsoft.com/office/drawing/2015/06/char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108098.43799999999</c:v>
                </c:pt>
                <c:pt idx="1">
                  <c:v>89675.133000000002</c:v>
                </c:pt>
                <c:pt idx="2">
                  <c:v>48441.554999999993</c:v>
                </c:pt>
                <c:pt idx="3">
                  <c:v>90556.491999999984</c:v>
                </c:pt>
              </c:numCache>
            </c:numRef>
          </c:val>
          <c:extLst xmlns:c16r2="http://schemas.microsoft.com/office/drawing/2015/06/char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1523.3530000000001</c:v>
                </c:pt>
                <c:pt idx="1">
                  <c:v>802.3599999999999</c:v>
                </c:pt>
                <c:pt idx="2">
                  <c:v>856.43999999999994</c:v>
                </c:pt>
                <c:pt idx="3">
                  <c:v>1569.425</c:v>
                </c:pt>
              </c:numCache>
            </c:numRef>
          </c:val>
          <c:extLst xmlns:c16r2="http://schemas.microsoft.com/office/drawing/2015/06/char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189509.33599999995</c:v>
                </c:pt>
                <c:pt idx="1">
                  <c:v>228718.93099999995</c:v>
                </c:pt>
                <c:pt idx="2">
                  <c:v>357295.06899999996</c:v>
                </c:pt>
                <c:pt idx="3">
                  <c:v>372715.31700000004</c:v>
                </c:pt>
              </c:numCache>
            </c:numRef>
          </c:val>
          <c:extLst xmlns:c16r2="http://schemas.microsoft.com/office/drawing/2015/06/char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239416.11900000004</c:v>
                </c:pt>
                <c:pt idx="1">
                  <c:v>467633.48099999997</c:v>
                </c:pt>
                <c:pt idx="2">
                  <c:v>722269.62199999986</c:v>
                </c:pt>
                <c:pt idx="3">
                  <c:v>659999.26399999997</c:v>
                </c:pt>
              </c:numCache>
            </c:numRef>
          </c:val>
          <c:extLst xmlns:c16r2="http://schemas.microsoft.com/office/drawing/2015/06/char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numCache>
            </c:numRef>
          </c:val>
          <c:extLst xmlns:c16r2="http://schemas.microsoft.com/office/drawing/2015/06/char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numCache>
            </c:numRef>
          </c:val>
          <c:extLst xmlns:c16r2="http://schemas.microsoft.com/office/drawing/2015/06/char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-807.94100000000003</c:v>
                </c:pt>
              </c:numCache>
            </c:numRef>
          </c:val>
          <c:extLst xmlns:c16r2="http://schemas.microsoft.com/office/drawing/2015/06/char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25343.830999999998</c:v>
                </c:pt>
                <c:pt idx="1">
                  <c:v>23446.991000000009</c:v>
                </c:pt>
                <c:pt idx="2">
                  <c:v>27381.694000000003</c:v>
                </c:pt>
                <c:pt idx="3">
                  <c:v>26432.097999999998</c:v>
                </c:pt>
              </c:numCache>
            </c:numRef>
          </c:val>
          <c:extLst xmlns:c16r2="http://schemas.microsoft.com/office/drawing/2015/06/char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numCache>
            </c:numRef>
          </c:val>
          <c:extLst xmlns:c16r2="http://schemas.microsoft.com/office/drawing/2015/06/char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-188331.05099999998</c:v>
                </c:pt>
                <c:pt idx="1">
                  <c:v>-130116.75200000001</c:v>
                </c:pt>
                <c:pt idx="2">
                  <c:v>-34385.275999999998</c:v>
                </c:pt>
                <c:pt idx="3">
                  <c:v>-101358.372</c:v>
                </c:pt>
              </c:numCache>
            </c:numRef>
          </c:val>
          <c:extLst xmlns:c16r2="http://schemas.microsoft.com/office/drawing/2015/06/char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66114304"/>
        <c:axId val="66115840"/>
      </c:barChart>
      <c:dateAx>
        <c:axId val="66114304"/>
        <c:scaling>
          <c:orientation val="minMax"/>
        </c:scaling>
        <c:delete val="0"/>
        <c:axPos val="b"/>
        <c:numFmt formatCode="mmm\-yy" sourceLinked="1"/>
        <c:majorTickMark val="out"/>
        <c:minorTickMark val="none"/>
        <c:tickLblPos val="nextTo"/>
        <c:crossAx val="66115840"/>
        <c:crosses val="autoZero"/>
        <c:auto val="1"/>
        <c:lblOffset val="100"/>
        <c:baseTimeUnit val="months"/>
      </c:dateAx>
      <c:valAx>
        <c:axId val="66115840"/>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6611430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10.06425198999959</c:v>
                </c:pt>
                <c:pt idx="1">
                  <c:v>10.814195499999821</c:v>
                </c:pt>
                <c:pt idx="2">
                  <c:v>10.421182399189757</c:v>
                </c:pt>
                <c:pt idx="3">
                  <c:v>8.4456661599999983</c:v>
                </c:pt>
              </c:numCache>
            </c:numRef>
          </c:val>
          <c:extLst xmlns:c16r2="http://schemas.microsoft.com/office/drawing/2015/06/char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5.4367516499999988</c:v>
                </c:pt>
                <c:pt idx="2">
                  <c:v>5.2139741590000011</c:v>
                </c:pt>
                <c:pt idx="3">
                  <c:v>6.7823702400000023</c:v>
                </c:pt>
              </c:numCache>
            </c:numRef>
          </c:val>
          <c:extLst xmlns:c16r2="http://schemas.microsoft.com/office/drawing/2015/06/char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5.7717608799999987</c:v>
                </c:pt>
                <c:pt idx="1">
                  <c:v>6.7625469100000002</c:v>
                </c:pt>
                <c:pt idx="2">
                  <c:v>6.4696123500000002</c:v>
                </c:pt>
                <c:pt idx="3">
                  <c:v>7.0940886200000008</c:v>
                </c:pt>
              </c:numCache>
            </c:numRef>
          </c:val>
          <c:extLst xmlns:c16r2="http://schemas.microsoft.com/office/drawing/2015/06/char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0.71916078000000017</c:v>
                </c:pt>
                <c:pt idx="1">
                  <c:v>0.8414972799999999</c:v>
                </c:pt>
                <c:pt idx="2">
                  <c:v>0.75124215999999999</c:v>
                </c:pt>
                <c:pt idx="3">
                  <c:v>0.99800239000000002</c:v>
                </c:pt>
              </c:numCache>
            </c:numRef>
          </c:val>
          <c:extLst xmlns:c16r2="http://schemas.microsoft.com/office/drawing/2015/06/char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3.3660501699999998</c:v>
                </c:pt>
                <c:pt idx="1">
                  <c:v>3.6704132239652592</c:v>
                </c:pt>
                <c:pt idx="2">
                  <c:v>3.2253605499999995</c:v>
                </c:pt>
                <c:pt idx="3">
                  <c:v>2.8274294599999994</c:v>
                </c:pt>
              </c:numCache>
            </c:numRef>
          </c:val>
          <c:extLst xmlns:c16r2="http://schemas.microsoft.com/office/drawing/2015/06/char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6.3138506403902044</c:v>
                </c:pt>
                <c:pt idx="1">
                  <c:v>7.0256712320249992</c:v>
                </c:pt>
                <c:pt idx="2">
                  <c:v>7.3253937599999981</c:v>
                </c:pt>
                <c:pt idx="3">
                  <c:v>6.5524431499999993</c:v>
                </c:pt>
              </c:numCache>
            </c:numRef>
          </c:val>
          <c:extLst xmlns:c16r2="http://schemas.microsoft.com/office/drawing/2015/06/char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0.63853029412799978</c:v>
                </c:pt>
                <c:pt idx="2">
                  <c:v>3.5447260446399995</c:v>
                </c:pt>
                <c:pt idx="3">
                  <c:v>0.19321358372800002</c:v>
                </c:pt>
              </c:numCache>
            </c:numRef>
          </c:val>
          <c:extLst xmlns:c16r2="http://schemas.microsoft.com/office/drawing/2015/06/char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0.77064764386643247</c:v>
                </c:pt>
              </c:numCache>
            </c:numRef>
          </c:val>
          <c:extLst xmlns:c16r2="http://schemas.microsoft.com/office/drawing/2015/06/char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2.2512000000000001E-4</c:v>
                </c:pt>
                <c:pt idx="1">
                  <c:v>0</c:v>
                </c:pt>
                <c:pt idx="2">
                  <c:v>0</c:v>
                </c:pt>
                <c:pt idx="3">
                  <c:v>0</c:v>
                </c:pt>
              </c:numCache>
            </c:numRef>
          </c:val>
          <c:extLst xmlns:c16r2="http://schemas.microsoft.com/office/drawing/2015/06/char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0.14716199999999999</c:v>
                </c:pt>
                <c:pt idx="1">
                  <c:v>0</c:v>
                </c:pt>
                <c:pt idx="2">
                  <c:v>0</c:v>
                </c:pt>
                <c:pt idx="3">
                  <c:v>0</c:v>
                </c:pt>
              </c:numCache>
            </c:numRef>
          </c:val>
          <c:extLst xmlns:c16r2="http://schemas.microsoft.com/office/drawing/2015/06/char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65910272"/>
        <c:axId val="65911808"/>
      </c:barChart>
      <c:dateAx>
        <c:axId val="65910272"/>
        <c:scaling>
          <c:orientation val="minMax"/>
        </c:scaling>
        <c:delete val="0"/>
        <c:axPos val="b"/>
        <c:numFmt formatCode="mmm\-yy" sourceLinked="1"/>
        <c:majorTickMark val="out"/>
        <c:minorTickMark val="none"/>
        <c:tickLblPos val="nextTo"/>
        <c:crossAx val="65911808"/>
        <c:crosses val="autoZero"/>
        <c:auto val="1"/>
        <c:lblOffset val="100"/>
        <c:baseTimeUnit val="months"/>
      </c:dateAx>
      <c:valAx>
        <c:axId val="65911808"/>
        <c:scaling>
          <c:orientation val="minMax"/>
        </c:scaling>
        <c:delete val="0"/>
        <c:axPos val="l"/>
        <c:majorGridlines/>
        <c:title>
          <c:tx>
            <c:rich>
              <a:bodyPr rot="-5400000" vert="horz"/>
              <a:lstStyle/>
              <a:p>
                <a:pPr>
                  <a:defRPr/>
                </a:pPr>
                <a:r>
                  <a:rPr lang="en-GB"/>
                  <a:t>Cost (£m)</a:t>
                </a:r>
              </a:p>
            </c:rich>
          </c:tx>
          <c:layout/>
          <c:overlay val="0"/>
        </c:title>
        <c:numFmt formatCode="#,##0" sourceLinked="0"/>
        <c:majorTickMark val="out"/>
        <c:minorTickMark val="none"/>
        <c:tickLblPos val="nextTo"/>
        <c:crossAx val="65910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 Total'!$B$42</c:f>
          <c:strCache>
            <c:ptCount val="1"/>
            <c:pt idx="0">
              <c:v>Ancillary Services Cost - Jul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9E4E-4862-B258-1DDAEB7E56F6}"/>
              </c:ext>
            </c:extLst>
          </c:dPt>
          <c:dPt>
            <c:idx val="2"/>
            <c:bubble3D val="0"/>
            <c:explosion val="10"/>
            <c:extLst xmlns:c16r2="http://schemas.microsoft.com/office/drawing/2015/06/chart">
              <c:ext xmlns:c16="http://schemas.microsoft.com/office/drawing/2014/chart" uri="{C3380CC4-5D6E-409C-BE32-E72D297353CC}">
                <c16:uniqueId val="{00000003-9E4E-4862-B258-1DDAEB7E56F6}"/>
              </c:ext>
            </c:extLst>
          </c:dPt>
          <c:dPt>
            <c:idx val="4"/>
            <c:bubble3D val="0"/>
            <c:explosion val="15"/>
            <c:extLst xmlns:c16r2="http://schemas.microsoft.com/office/drawing/2015/06/char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Total'!$F$16:$F$19</c:f>
              <c:numCache>
                <c:formatCode>0.00</c:formatCode>
                <c:ptCount val="4"/>
                <c:pt idx="0">
                  <c:v>7.8867142799999996</c:v>
                </c:pt>
                <c:pt idx="1">
                  <c:v>12.61815275759443</c:v>
                </c:pt>
                <c:pt idx="2">
                  <c:v>13.024871880000001</c:v>
                </c:pt>
                <c:pt idx="3">
                  <c:v>0</c:v>
                </c:pt>
              </c:numCache>
            </c:numRef>
          </c:val>
          <c:extLst xmlns:c16r2="http://schemas.microsoft.com/office/drawing/2015/06/char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numCache>
            </c:numRef>
          </c:val>
          <c:extLst xmlns:c16r2="http://schemas.microsoft.com/office/drawing/2015/06/char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numCache>
            </c:numRef>
          </c:val>
          <c:extLst xmlns:c16r2="http://schemas.microsoft.com/office/drawing/2015/06/char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65852544"/>
        <c:axId val="65854080"/>
      </c:barChart>
      <c:dateAx>
        <c:axId val="65852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4080"/>
        <c:crosses val="autoZero"/>
        <c:auto val="1"/>
        <c:lblOffset val="100"/>
        <c:baseTimeUnit val="months"/>
      </c:dateAx>
      <c:valAx>
        <c:axId val="6585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2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numCache>
            </c:numRef>
          </c:val>
          <c:extLst xmlns:c16r2="http://schemas.microsoft.com/office/drawing/2015/06/char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numCache>
            </c:numRef>
          </c:val>
          <c:extLst xmlns:c16r2="http://schemas.microsoft.com/office/drawing/2015/06/char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66631552"/>
        <c:axId val="66633088"/>
      </c:barChart>
      <c:dateAx>
        <c:axId val="66631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3088"/>
        <c:crosses val="autoZero"/>
        <c:auto val="1"/>
        <c:lblOffset val="100"/>
        <c:baseTimeUnit val="months"/>
      </c:dateAx>
      <c:valAx>
        <c:axId val="6663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15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85725</xdr:rowOff>
    </xdr:from>
    <xdr:to>
      <xdr:col>4</xdr:col>
      <xdr:colOff>323850</xdr:colOff>
      <xdr:row>7</xdr:row>
      <xdr:rowOff>104775</xdr:rowOff>
    </xdr:to>
    <xdr:sp macro="[0]!import_data" textlink="">
      <xdr:nvSpPr>
        <xdr:cNvPr id="3" name="Rectangle 2">
          <a:extLst>
            <a:ext uri="{FF2B5EF4-FFF2-40B4-BE49-F238E27FC236}">
              <a16:creationId xmlns:a16="http://schemas.microsoft.com/office/drawing/2014/main" xmlns="" id="{00000000-0008-0000-0000-000003000000}"/>
            </a:ext>
          </a:extLst>
        </xdr:cNvPr>
        <xdr:cNvSpPr/>
      </xdr:nvSpPr>
      <xdr:spPr>
        <a:xfrm>
          <a:off x="771525" y="466725"/>
          <a:ext cx="1609725" cy="971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Import</a:t>
          </a:r>
          <a:r>
            <a:rPr lang="en-GB" sz="1100" baseline="0"/>
            <a:t> Data</a:t>
          </a:r>
        </a:p>
        <a:p>
          <a:pPr algn="ctr"/>
          <a:r>
            <a:rPr lang="en-GB" sz="1100" baseline="0"/>
            <a:t>Select AS data file</a:t>
          </a:r>
          <a:endParaRPr lang="en-GB" sz="1100"/>
        </a:p>
      </xdr:txBody>
    </xdr:sp>
    <xdr:clientData/>
  </xdr:twoCellAnchor>
  <xdr:twoCellAnchor>
    <xdr:from>
      <xdr:col>1</xdr:col>
      <xdr:colOff>247650</xdr:colOff>
      <xdr:row>8</xdr:row>
      <xdr:rowOff>180975</xdr:rowOff>
    </xdr:from>
    <xdr:to>
      <xdr:col>4</xdr:col>
      <xdr:colOff>323850</xdr:colOff>
      <xdr:row>14</xdr:row>
      <xdr:rowOff>9525</xdr:rowOff>
    </xdr:to>
    <xdr:sp macro="[0]!update_charts" textlink="">
      <xdr:nvSpPr>
        <xdr:cNvPr id="2" name="Rectangle 1">
          <a:extLst>
            <a:ext uri="{FF2B5EF4-FFF2-40B4-BE49-F238E27FC236}">
              <a16:creationId xmlns:a16="http://schemas.microsoft.com/office/drawing/2014/main" xmlns="" id="{00000000-0008-0000-0000-000002000000}"/>
            </a:ext>
          </a:extLst>
        </xdr:cNvPr>
        <xdr:cNvSpPr/>
      </xdr:nvSpPr>
      <xdr:spPr>
        <a:xfrm>
          <a:off x="762000" y="1704975"/>
          <a:ext cx="1619250" cy="971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Copy imported</a:t>
          </a:r>
          <a:r>
            <a:rPr lang="en-GB" sz="1100" baseline="0"/>
            <a:t> data to chart tables</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xmlns=""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xmlns=""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xmlns=""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xmlns=""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xmlns=""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xmlns=""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xmlns=""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xmlns=""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xmlns=""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xmlns=""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xmlns=""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xmlns=""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373206</xdr:colOff>
      <xdr:row>47</xdr:row>
      <xdr:rowOff>31170</xdr:rowOff>
    </xdr:from>
    <xdr:to>
      <xdr:col>54</xdr:col>
      <xdr:colOff>51956</xdr:colOff>
      <xdr:row>80</xdr:row>
      <xdr:rowOff>17317</xdr:rowOff>
    </xdr:to>
    <xdr:graphicFrame macro="">
      <xdr:nvGraphicFramePr>
        <xdr:cNvPr id="6" name="Chart 5">
          <a:extLst>
            <a:ext uri="{FF2B5EF4-FFF2-40B4-BE49-F238E27FC236}">
              <a16:creationId xmlns:a16="http://schemas.microsoft.com/office/drawing/2014/main" xmlns=""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xmlns=""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xmlns=""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xmlns=""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xmlns=""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63"/>
  <sheetViews>
    <sheetView workbookViewId="0">
      <selection activeCell="C30" sqref="C30"/>
    </sheetView>
  </sheetViews>
  <sheetFormatPr defaultColWidth="7.7109375" defaultRowHeight="15" x14ac:dyDescent="0.25"/>
  <cols>
    <col min="5" max="5" width="10.7109375" bestFit="1" customWidth="1"/>
  </cols>
  <sheetData>
    <row r="1" spans="1:10" x14ac:dyDescent="0.25">
      <c r="B1" t="s">
        <v>158</v>
      </c>
      <c r="E1" s="40">
        <v>43282</v>
      </c>
      <c r="H1" t="str">
        <f>TEXT(E1,"mmmm yyyy")</f>
        <v>July 2018</v>
      </c>
    </row>
    <row r="2" spans="1:10" x14ac:dyDescent="0.25">
      <c r="E2" s="40">
        <f>EOMONTH(E1,0)</f>
        <v>43312</v>
      </c>
    </row>
    <row r="3" spans="1:10" x14ac:dyDescent="0.25">
      <c r="B3" s="40"/>
      <c r="C3" s="40"/>
    </row>
    <row r="5" spans="1:10" x14ac:dyDescent="0.25"/>
    <row r="8" spans="1:10" x14ac:dyDescent="0.25">
      <c r="A8" s="42"/>
    </row>
    <row r="16" spans="1:10" x14ac:dyDescent="0.25">
      <c r="A16" s="42"/>
    </row>
    <row r="18" spans="1:1" x14ac:dyDescent="0.25">
      <c r="A18" s="42"/>
    </row>
    <row r="22" spans="1:1" x14ac:dyDescent="0.25">
      <c r="A22" s="42"/>
    </row>
    <row r="23" spans="1:1" x14ac:dyDescent="0.25">
      <c r="A23" s="42"/>
    </row>
    <row r="24" spans="1:1" x14ac:dyDescent="0.25">
      <c r="A24" s="42"/>
    </row>
    <row r="26" spans="1:1" x14ac:dyDescent="0.25">
      <c r="A26" s="42"/>
    </row>
    <row r="28" spans="1:1" x14ac:dyDescent="0.25">
      <c r="A28" s="42"/>
    </row>
    <row r="29" spans="1:1" x14ac:dyDescent="0.25">
      <c r="A29" s="42"/>
    </row>
    <row r="32" spans="1:1" x14ac:dyDescent="0.25">
      <c r="A32" s="42"/>
    </row>
    <row r="34" spans="1:1" x14ac:dyDescent="0.25">
      <c r="A34" s="42"/>
    </row>
    <row r="35" spans="1:1" x14ac:dyDescent="0.25">
      <c r="A35" s="42"/>
    </row>
    <row r="36" spans="1:1" x14ac:dyDescent="0.25">
      <c r="A36" s="42"/>
    </row>
    <row r="37" spans="1:1" x14ac:dyDescent="0.25">
      <c r="A37" s="42"/>
    </row>
    <row r="38" spans="1:1" x14ac:dyDescent="0.25">
      <c r="A38" s="42"/>
    </row>
    <row r="40" spans="1:1" x14ac:dyDescent="0.25">
      <c r="A40" s="42"/>
    </row>
    <row r="41" spans="1:1" x14ac:dyDescent="0.25">
      <c r="A41" s="42"/>
    </row>
    <row r="43" spans="1:1" x14ac:dyDescent="0.25">
      <c r="A43" s="42"/>
    </row>
    <row r="45" spans="1:1" x14ac:dyDescent="0.25">
      <c r="A45" s="42"/>
    </row>
    <row r="46" spans="1:1" x14ac:dyDescent="0.25">
      <c r="A46" s="42"/>
    </row>
    <row r="48" spans="1:1" x14ac:dyDescent="0.25">
      <c r="A48" s="42"/>
    </row>
    <row r="50" spans="1:1" x14ac:dyDescent="0.25">
      <c r="A50" s="42"/>
    </row>
    <row r="54" spans="1:1" x14ac:dyDescent="0.25">
      <c r="A54" s="42"/>
    </row>
    <row r="55" spans="1:1" x14ac:dyDescent="0.25">
      <c r="A55" s="42"/>
    </row>
    <row r="56" spans="1:1" x14ac:dyDescent="0.25">
      <c r="A56" s="42"/>
    </row>
    <row r="57" spans="1:1" x14ac:dyDescent="0.25">
      <c r="A57" s="42"/>
    </row>
    <row r="60" spans="1:1" x14ac:dyDescent="0.25">
      <c r="A60" s="42"/>
    </row>
    <row r="62" spans="1:1" x14ac:dyDescent="0.25">
      <c r="A62" s="42"/>
    </row>
    <row r="63" spans="1:1" x14ac:dyDescent="0.25">
      <c r="A63" s="42"/>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C13" sqref="C13:F19"/>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161</v>
      </c>
      <c r="C3" s="45">
        <v>2.5151462703844705</v>
      </c>
      <c r="D3" s="45">
        <v>2.1671162350851598</v>
      </c>
      <c r="E3" s="45">
        <v>0.84352933152058007</v>
      </c>
      <c r="F3" s="45">
        <v>1.9906922305516099</v>
      </c>
      <c r="G3" s="45"/>
      <c r="H3" s="45"/>
      <c r="I3" s="45"/>
      <c r="J3" s="45"/>
      <c r="K3" s="45"/>
      <c r="L3" s="45"/>
      <c r="M3" s="45"/>
      <c r="N3" s="45"/>
    </row>
    <row r="4" spans="2:14" x14ac:dyDescent="0.25">
      <c r="B4" s="1" t="s">
        <v>163</v>
      </c>
      <c r="C4" s="45">
        <v>1.5418544912971104</v>
      </c>
      <c r="D4" s="45">
        <v>1.9115607008938198</v>
      </c>
      <c r="E4" s="45">
        <v>2.2672596151643902</v>
      </c>
      <c r="F4" s="45">
        <v>2.4010604574041801</v>
      </c>
      <c r="G4" s="45"/>
      <c r="H4" s="45"/>
      <c r="I4" s="45"/>
      <c r="J4" s="45"/>
      <c r="K4" s="45"/>
      <c r="L4" s="45"/>
      <c r="M4" s="45"/>
      <c r="N4" s="45"/>
    </row>
    <row r="5" spans="2:14" x14ac:dyDescent="0.25">
      <c r="B5" s="1" t="s">
        <v>164</v>
      </c>
      <c r="C5" s="45">
        <v>2.9447964967749998E-2</v>
      </c>
      <c r="D5" s="45">
        <v>0.19863086725012</v>
      </c>
      <c r="E5" s="45">
        <v>3.9113178853159999E-2</v>
      </c>
      <c r="F5" s="45">
        <v>0.17567412871568</v>
      </c>
      <c r="G5" s="45"/>
      <c r="H5" s="45"/>
      <c r="I5" s="45"/>
      <c r="J5" s="45"/>
      <c r="K5" s="45"/>
      <c r="L5" s="45"/>
      <c r="M5" s="45"/>
      <c r="N5" s="45"/>
    </row>
    <row r="6" spans="2:14" x14ac:dyDescent="0.25">
      <c r="B6" s="1" t="s">
        <v>43</v>
      </c>
      <c r="C6" s="45">
        <v>0</v>
      </c>
      <c r="D6" s="45">
        <v>0</v>
      </c>
      <c r="E6" s="45">
        <v>0</v>
      </c>
      <c r="F6" s="45">
        <v>0</v>
      </c>
      <c r="G6" s="45"/>
      <c r="H6" s="45"/>
      <c r="I6" s="45"/>
      <c r="J6" s="45"/>
      <c r="K6" s="45"/>
      <c r="L6" s="45"/>
      <c r="M6" s="45"/>
      <c r="N6" s="45"/>
    </row>
    <row r="7" spans="2:14" x14ac:dyDescent="0.25">
      <c r="B7" s="1" t="s">
        <v>165</v>
      </c>
      <c r="C7" s="45">
        <v>3.5997274999999995E-2</v>
      </c>
      <c r="D7" s="45">
        <v>0.21393737100000002</v>
      </c>
      <c r="E7" s="45">
        <v>0.41133682692395007</v>
      </c>
      <c r="F7" s="45">
        <v>0.11598598406272999</v>
      </c>
      <c r="G7" s="45"/>
      <c r="H7" s="45"/>
      <c r="I7" s="45"/>
      <c r="J7" s="45"/>
      <c r="K7" s="45"/>
      <c r="L7" s="45"/>
      <c r="M7" s="45"/>
      <c r="N7" s="45"/>
    </row>
    <row r="8" spans="2:14" x14ac:dyDescent="0.25">
      <c r="B8" s="1" t="s">
        <v>179</v>
      </c>
      <c r="C8" s="45">
        <v>0</v>
      </c>
      <c r="D8" s="45">
        <v>0</v>
      </c>
      <c r="E8" s="45">
        <v>0</v>
      </c>
      <c r="F8" s="45">
        <v>0</v>
      </c>
      <c r="G8" s="45"/>
      <c r="H8" s="45"/>
      <c r="I8" s="45"/>
      <c r="J8" s="45"/>
      <c r="K8" s="45"/>
      <c r="L8" s="45"/>
      <c r="M8" s="45"/>
      <c r="N8" s="45"/>
    </row>
    <row r="9" spans="2:14" x14ac:dyDescent="0.25">
      <c r="B9" s="1" t="s">
        <v>166</v>
      </c>
      <c r="C9" s="45">
        <v>0</v>
      </c>
      <c r="D9" s="45">
        <v>0</v>
      </c>
      <c r="E9" s="45">
        <v>0</v>
      </c>
      <c r="F9" s="45">
        <v>0</v>
      </c>
      <c r="G9" s="45"/>
      <c r="H9" s="45"/>
      <c r="I9" s="45"/>
      <c r="J9" s="45"/>
      <c r="K9" s="45"/>
      <c r="L9" s="45"/>
      <c r="M9" s="45"/>
      <c r="N9" s="45"/>
    </row>
    <row r="12" spans="2:14" x14ac:dyDescent="0.25">
      <c r="B12" s="2" t="s">
        <v>93</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161</v>
      </c>
      <c r="C13" s="15">
        <v>108098.43799999999</v>
      </c>
      <c r="D13" s="15">
        <v>89675.133000000002</v>
      </c>
      <c r="E13" s="15">
        <v>48441.554999999993</v>
      </c>
      <c r="F13" s="15">
        <v>90556.491999999984</v>
      </c>
      <c r="G13" s="15"/>
      <c r="H13" s="15"/>
      <c r="I13" s="15"/>
      <c r="J13" s="15"/>
      <c r="K13" s="15"/>
      <c r="L13" s="15"/>
      <c r="M13" s="15"/>
      <c r="N13" s="15"/>
    </row>
    <row r="14" spans="2:14" x14ac:dyDescent="0.25">
      <c r="B14" s="1" t="s">
        <v>163</v>
      </c>
      <c r="C14" s="15">
        <v>189509.33599999995</v>
      </c>
      <c r="D14" s="15">
        <v>228718.93099999995</v>
      </c>
      <c r="E14" s="15">
        <v>357295.06899999996</v>
      </c>
      <c r="F14" s="15">
        <v>372715.31700000004</v>
      </c>
      <c r="G14" s="15"/>
      <c r="H14" s="15"/>
      <c r="I14" s="15"/>
      <c r="J14" s="15"/>
      <c r="K14" s="15"/>
      <c r="L14" s="15"/>
      <c r="M14" s="15"/>
      <c r="N14" s="15"/>
    </row>
    <row r="15" spans="2:14" x14ac:dyDescent="0.25">
      <c r="B15" s="1" t="s">
        <v>164</v>
      </c>
      <c r="C15" s="15">
        <v>343</v>
      </c>
      <c r="D15" s="15">
        <v>700</v>
      </c>
      <c r="E15" s="15">
        <v>2744</v>
      </c>
      <c r="F15" s="15">
        <v>1813</v>
      </c>
      <c r="G15" s="15"/>
      <c r="H15" s="15"/>
      <c r="I15" s="15"/>
      <c r="J15" s="15"/>
      <c r="K15" s="15"/>
      <c r="L15" s="15"/>
      <c r="M15" s="15"/>
      <c r="N15" s="15"/>
    </row>
    <row r="16" spans="2:14" x14ac:dyDescent="0.25">
      <c r="B16" s="1" t="s">
        <v>43</v>
      </c>
      <c r="C16" s="15">
        <v>0</v>
      </c>
      <c r="D16" s="15">
        <v>0</v>
      </c>
      <c r="E16" s="15">
        <v>0</v>
      </c>
      <c r="F16" s="15">
        <v>0</v>
      </c>
      <c r="G16" s="15"/>
      <c r="H16" s="15"/>
      <c r="I16" s="15"/>
      <c r="J16" s="15"/>
      <c r="K16" s="15"/>
      <c r="L16" s="15"/>
      <c r="M16" s="15"/>
      <c r="N16" s="15"/>
    </row>
    <row r="17" spans="2:14" x14ac:dyDescent="0.25">
      <c r="B17" s="1" t="s">
        <v>165</v>
      </c>
      <c r="C17" s="15">
        <v>1263</v>
      </c>
      <c r="D17" s="15">
        <v>0</v>
      </c>
      <c r="E17" s="15">
        <v>15748</v>
      </c>
      <c r="F17" s="15">
        <v>5609</v>
      </c>
      <c r="G17" s="15"/>
      <c r="H17" s="15"/>
      <c r="I17" s="15"/>
      <c r="J17" s="15"/>
      <c r="K17" s="15"/>
      <c r="L17" s="15"/>
      <c r="M17" s="15"/>
      <c r="N17" s="15"/>
    </row>
    <row r="18" spans="2:14" x14ac:dyDescent="0.25">
      <c r="B18" s="1" t="s">
        <v>179</v>
      </c>
      <c r="C18" s="15">
        <v>0</v>
      </c>
      <c r="D18" s="15">
        <v>0</v>
      </c>
      <c r="E18" s="15">
        <v>0</v>
      </c>
      <c r="F18" s="15">
        <v>0</v>
      </c>
      <c r="G18" s="15"/>
      <c r="H18" s="15"/>
      <c r="I18" s="15"/>
      <c r="J18" s="15"/>
      <c r="K18" s="15"/>
      <c r="L18" s="15"/>
      <c r="M18" s="15"/>
      <c r="N18" s="15"/>
    </row>
    <row r="19" spans="2:14" x14ac:dyDescent="0.25">
      <c r="B19" s="1" t="s">
        <v>166</v>
      </c>
      <c r="C19" s="15">
        <v>0</v>
      </c>
      <c r="D19" s="15">
        <v>0</v>
      </c>
      <c r="E19" s="15">
        <v>293.54500000000002</v>
      </c>
      <c r="F19" s="15">
        <v>185.96</v>
      </c>
      <c r="G19" s="15"/>
      <c r="H19" s="15"/>
      <c r="I19" s="15"/>
      <c r="J19" s="15"/>
      <c r="K19" s="15"/>
      <c r="L19" s="15"/>
      <c r="M19" s="15"/>
      <c r="N19" s="15"/>
    </row>
    <row r="20" spans="2:14" x14ac:dyDescent="0.25">
      <c r="C20" s="8"/>
    </row>
    <row r="21" spans="2:14" x14ac:dyDescent="0.25">
      <c r="C21" s="8"/>
      <c r="D21" s="28"/>
    </row>
    <row r="22" spans="2:14" x14ac:dyDescent="0.25">
      <c r="C22" s="8"/>
      <c r="D22" s="28"/>
    </row>
    <row r="23" spans="2:14" x14ac:dyDescent="0.25">
      <c r="B23" s="28"/>
      <c r="C23" s="8"/>
      <c r="D23" s="28"/>
    </row>
    <row r="24" spans="2:14" x14ac:dyDescent="0.25">
      <c r="C24" s="8"/>
      <c r="D24" s="28"/>
    </row>
    <row r="25" spans="2:14" x14ac:dyDescent="0.25">
      <c r="C25" s="8"/>
      <c r="D25" s="28"/>
    </row>
    <row r="26" spans="2:14" x14ac:dyDescent="0.25">
      <c r="C26" s="8"/>
      <c r="D26" s="2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1"/>
  <sheetViews>
    <sheetView zoomScale="85" zoomScaleNormal="85" workbookViewId="0">
      <selection activeCell="C6" sqref="C6"/>
    </sheetView>
  </sheetViews>
  <sheetFormatPr defaultRowHeight="15" x14ac:dyDescent="0.25"/>
  <cols>
    <col min="2" max="2" width="49.42578125" customWidth="1"/>
    <col min="3" max="3" width="11.42578125" customWidth="1"/>
    <col min="4" max="6" width="8" bestFit="1" customWidth="1"/>
    <col min="7"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80</v>
      </c>
      <c r="C3" s="45">
        <v>7.5542247806790003E-2</v>
      </c>
      <c r="D3" s="45">
        <v>4.1343767424000005E-2</v>
      </c>
      <c r="E3" s="45">
        <v>3.3740635283049991E-2</v>
      </c>
      <c r="F3" s="45">
        <v>0.12881977397467001</v>
      </c>
      <c r="G3" s="45"/>
      <c r="H3" s="45"/>
      <c r="I3" s="45"/>
      <c r="J3" s="45"/>
      <c r="K3" s="45"/>
      <c r="L3" s="45"/>
      <c r="M3" s="45"/>
      <c r="N3" s="45"/>
    </row>
    <row r="4" spans="1:14" x14ac:dyDescent="0.25">
      <c r="B4" s="1" t="s">
        <v>81</v>
      </c>
      <c r="C4" s="45">
        <v>1.9084862600000003</v>
      </c>
      <c r="D4" s="45">
        <v>2.2609240200000009</v>
      </c>
      <c r="E4" s="45">
        <v>2.2192515600000009</v>
      </c>
      <c r="F4" s="45">
        <v>2.5465880899999993</v>
      </c>
      <c r="G4" s="45"/>
      <c r="H4" s="45"/>
      <c r="I4" s="45"/>
      <c r="J4" s="45"/>
      <c r="K4" s="45"/>
      <c r="L4" s="45"/>
      <c r="M4" s="45"/>
      <c r="N4" s="45"/>
    </row>
    <row r="5" spans="1:14" x14ac:dyDescent="0.25">
      <c r="B5" s="1" t="s">
        <v>84</v>
      </c>
      <c r="C5" s="45">
        <v>2.0156231</v>
      </c>
      <c r="D5" s="45">
        <v>2.5426427400000002</v>
      </c>
      <c r="E5" s="45">
        <v>2.5732744100000007</v>
      </c>
      <c r="F5" s="45">
        <v>2.5998656999999996</v>
      </c>
      <c r="G5" s="45"/>
      <c r="H5" s="45"/>
      <c r="I5" s="45"/>
      <c r="J5" s="45"/>
      <c r="K5" s="45"/>
      <c r="L5" s="45"/>
      <c r="M5" s="45"/>
      <c r="N5" s="45"/>
    </row>
    <row r="6" spans="1:14" x14ac:dyDescent="0.25">
      <c r="B6" s="1" t="s">
        <v>85</v>
      </c>
      <c r="C6" s="45">
        <v>1.8476515200000001</v>
      </c>
      <c r="D6" s="45">
        <v>1.9589801500000001</v>
      </c>
      <c r="E6" s="45">
        <v>1.67708638</v>
      </c>
      <c r="F6" s="45">
        <v>1.9476348300000002</v>
      </c>
      <c r="G6" s="45"/>
      <c r="H6" s="45"/>
      <c r="I6" s="45"/>
      <c r="J6" s="45"/>
      <c r="K6" s="45"/>
      <c r="L6" s="45"/>
      <c r="M6" s="45"/>
      <c r="N6" s="45"/>
    </row>
    <row r="7" spans="1:14" x14ac:dyDescent="0.25">
      <c r="B7" s="1" t="s">
        <v>82</v>
      </c>
      <c r="C7" s="45">
        <v>0</v>
      </c>
      <c r="D7" s="45">
        <v>0</v>
      </c>
      <c r="E7" s="45">
        <v>0</v>
      </c>
      <c r="F7" s="45">
        <v>0</v>
      </c>
      <c r="G7" s="45"/>
      <c r="H7" s="45"/>
      <c r="I7" s="45"/>
      <c r="J7" s="45"/>
      <c r="K7" s="45"/>
      <c r="L7" s="45"/>
      <c r="M7" s="45"/>
      <c r="N7" s="45"/>
    </row>
    <row r="8" spans="1:14" x14ac:dyDescent="0.25">
      <c r="B8" s="1" t="s">
        <v>83</v>
      </c>
      <c r="C8" s="45">
        <v>0</v>
      </c>
      <c r="D8" s="45">
        <v>0</v>
      </c>
      <c r="E8" s="45">
        <v>0</v>
      </c>
      <c r="F8" s="45">
        <v>0</v>
      </c>
      <c r="G8" s="45"/>
      <c r="H8" s="45"/>
      <c r="I8" s="45"/>
      <c r="J8" s="45"/>
      <c r="K8" s="45"/>
      <c r="L8" s="45"/>
      <c r="M8" s="45"/>
      <c r="N8" s="45"/>
    </row>
    <row r="9" spans="1:14" x14ac:dyDescent="0.25">
      <c r="B9" s="5"/>
      <c r="C9" s="16">
        <f>SUM(C3:C8)</f>
        <v>5.8473031278067902</v>
      </c>
      <c r="D9" s="16">
        <f t="shared" ref="D9:N9" si="0">SUM(D3:D8)</f>
        <v>6.8038906774240013</v>
      </c>
      <c r="E9" s="16">
        <f t="shared" si="0"/>
        <v>6.5033529852830512</v>
      </c>
      <c r="F9" s="16">
        <f t="shared" si="0"/>
        <v>7.2229083939746692</v>
      </c>
      <c r="G9" s="16">
        <f t="shared" si="0"/>
        <v>0</v>
      </c>
      <c r="H9" s="16">
        <f t="shared" si="0"/>
        <v>0</v>
      </c>
      <c r="I9" s="16">
        <f t="shared" si="0"/>
        <v>0</v>
      </c>
      <c r="J9" s="16">
        <f t="shared" si="0"/>
        <v>0</v>
      </c>
      <c r="K9" s="16">
        <f t="shared" si="0"/>
        <v>0</v>
      </c>
      <c r="L9" s="16">
        <f t="shared" si="0"/>
        <v>0</v>
      </c>
      <c r="M9" s="16">
        <f t="shared" si="0"/>
        <v>0</v>
      </c>
      <c r="N9" s="16">
        <f t="shared" si="0"/>
        <v>0</v>
      </c>
    </row>
    <row r="10" spans="1:14" x14ac:dyDescent="0.25">
      <c r="C10" s="16">
        <f>SUM(C3:C4,C7)</f>
        <v>1.9840285078067903</v>
      </c>
      <c r="D10" s="16">
        <f t="shared" ref="D10:N10" si="1">SUM(D3:D4,D7)</f>
        <v>2.3022677874240007</v>
      </c>
      <c r="E10" s="16">
        <f t="shared" si="1"/>
        <v>2.2529921952830509</v>
      </c>
      <c r="F10" s="16">
        <f t="shared" si="1"/>
        <v>2.6754078639746695</v>
      </c>
      <c r="G10" s="16">
        <f t="shared" si="1"/>
        <v>0</v>
      </c>
      <c r="H10" s="16">
        <f t="shared" si="1"/>
        <v>0</v>
      </c>
      <c r="I10" s="16">
        <f t="shared" si="1"/>
        <v>0</v>
      </c>
      <c r="J10" s="16">
        <f t="shared" si="1"/>
        <v>0</v>
      </c>
      <c r="K10" s="16">
        <f t="shared" si="1"/>
        <v>0</v>
      </c>
      <c r="L10" s="16">
        <f t="shared" si="1"/>
        <v>0</v>
      </c>
      <c r="M10" s="16">
        <f t="shared" si="1"/>
        <v>0</v>
      </c>
      <c r="N10" s="16">
        <f t="shared" si="1"/>
        <v>0</v>
      </c>
    </row>
    <row r="11" spans="1:14" x14ac:dyDescent="0.25">
      <c r="C11" s="41">
        <f>SUM(C5:C6,C8)</f>
        <v>3.8632746200000003</v>
      </c>
      <c r="D11" s="41">
        <f t="shared" ref="D11:N11" si="2">SUM(D5:D6,D8)</f>
        <v>4.5016228900000002</v>
      </c>
      <c r="E11" s="41">
        <f t="shared" si="2"/>
        <v>4.2503607900000002</v>
      </c>
      <c r="F11" s="41">
        <f t="shared" si="2"/>
        <v>4.5475005299999998</v>
      </c>
      <c r="G11" s="41">
        <f t="shared" si="2"/>
        <v>0</v>
      </c>
      <c r="H11" s="41">
        <f t="shared" si="2"/>
        <v>0</v>
      </c>
      <c r="I11" s="41">
        <f t="shared" si="2"/>
        <v>0</v>
      </c>
      <c r="J11" s="41">
        <f t="shared" si="2"/>
        <v>0</v>
      </c>
      <c r="K11" s="41">
        <f t="shared" si="2"/>
        <v>0</v>
      </c>
      <c r="L11" s="41">
        <f t="shared" si="2"/>
        <v>0</v>
      </c>
      <c r="M11" s="41">
        <f t="shared" si="2"/>
        <v>0</v>
      </c>
      <c r="N11" s="41">
        <f t="shared" si="2"/>
        <v>0</v>
      </c>
    </row>
    <row r="13" spans="1: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x14ac:dyDescent="0.25">
      <c r="B14" s="10" t="s">
        <v>85</v>
      </c>
      <c r="C14" s="76">
        <v>48983.042000000001</v>
      </c>
      <c r="D14" s="76">
        <v>52527.169000000002</v>
      </c>
      <c r="E14" s="76">
        <v>47632.440999999999</v>
      </c>
      <c r="F14" s="76">
        <v>58800.014000000003</v>
      </c>
      <c r="G14" s="15"/>
      <c r="H14" s="15"/>
      <c r="I14" s="15"/>
      <c r="J14" s="15"/>
      <c r="K14" s="15"/>
      <c r="L14" s="15"/>
      <c r="M14" s="15"/>
      <c r="N14" s="15"/>
    </row>
    <row r="15" spans="1:14" x14ac:dyDescent="0.25">
      <c r="B15" s="10" t="s">
        <v>141</v>
      </c>
      <c r="C15" s="75">
        <v>4468.8760000000002</v>
      </c>
      <c r="D15" s="75">
        <v>4942.2079999999996</v>
      </c>
      <c r="E15" s="75">
        <v>3480.5</v>
      </c>
      <c r="F15" s="75">
        <v>4972.2510000000002</v>
      </c>
      <c r="G15" s="15"/>
      <c r="H15" s="15"/>
      <c r="I15" s="15"/>
      <c r="J15" s="15"/>
      <c r="K15" s="15"/>
      <c r="L15" s="15"/>
      <c r="M15" s="15"/>
      <c r="N15" s="15"/>
    </row>
    <row r="16" spans="1:14" x14ac:dyDescent="0.25">
      <c r="C16" s="28">
        <f>SUM(C14:C15)</f>
        <v>53451.918000000005</v>
      </c>
      <c r="D16" s="28">
        <f t="shared" ref="D16:N16" si="3">SUM(D14:D15)</f>
        <v>57469.377</v>
      </c>
      <c r="E16" s="28">
        <f t="shared" si="3"/>
        <v>51112.940999999999</v>
      </c>
      <c r="F16" s="28">
        <f t="shared" si="3"/>
        <v>63772.264999999999</v>
      </c>
      <c r="G16" s="28">
        <f t="shared" si="3"/>
        <v>0</v>
      </c>
      <c r="H16" s="28">
        <f t="shared" si="3"/>
        <v>0</v>
      </c>
      <c r="I16" s="28">
        <f t="shared" si="3"/>
        <v>0</v>
      </c>
      <c r="J16" s="28">
        <f t="shared" si="3"/>
        <v>0</v>
      </c>
      <c r="K16" s="28">
        <f t="shared" si="3"/>
        <v>0</v>
      </c>
      <c r="L16" s="28">
        <f t="shared" si="3"/>
        <v>0</v>
      </c>
      <c r="M16" s="28">
        <f t="shared" si="3"/>
        <v>0</v>
      </c>
      <c r="N16" s="28">
        <f t="shared" si="3"/>
        <v>0</v>
      </c>
    </row>
    <row r="17" spans="1:2" x14ac:dyDescent="0.25">
      <c r="B17" t="s">
        <v>178</v>
      </c>
    </row>
    <row r="18" spans="1:2" x14ac:dyDescent="0.25">
      <c r="A18" t="s">
        <v>42</v>
      </c>
      <c r="B18" s="13">
        <f>HLOOKUP(Main!$E$2,STOR!$C$2:$N$11,8,FALSE)</f>
        <v>7.2229083939746692</v>
      </c>
    </row>
    <row r="19" spans="1:2" x14ac:dyDescent="0.25">
      <c r="A19" t="s">
        <v>180</v>
      </c>
      <c r="B19" s="13">
        <f>HLOOKUP(Main!$E$2,STOR!$C$2:$N$11,9,FALSE)</f>
        <v>2.6754078639746695</v>
      </c>
    </row>
    <row r="20" spans="1:2" x14ac:dyDescent="0.25">
      <c r="A20" t="s">
        <v>181</v>
      </c>
      <c r="B20" s="13">
        <f>HLOOKUP(Main!$E$2,STOR!$C$2:$N$11,10,FALSE)</f>
        <v>4.5475005299999998</v>
      </c>
    </row>
    <row r="21" spans="1:2" x14ac:dyDescent="0.25">
      <c r="A21" t="s">
        <v>182</v>
      </c>
      <c r="B21" s="55">
        <f>HLOOKUP(Main!$E$1,STOR!$C$13:$N$16,4,FALSE)</f>
        <v>63772.264999999999</v>
      </c>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54"/>
  <sheetViews>
    <sheetView zoomScale="70" zoomScaleNormal="70" workbookViewId="0">
      <selection activeCell="N54" sqref="N54"/>
    </sheetView>
  </sheetViews>
  <sheetFormatPr defaultRowHeight="15" x14ac:dyDescent="0.25"/>
  <cols>
    <col min="2" max="2" width="48.28515625" customWidth="1"/>
    <col min="3" max="3" width="11" bestFit="1" customWidth="1"/>
    <col min="4" max="4" width="10.5703125" bestFit="1" customWidth="1"/>
    <col min="5" max="6" width="11.42578125" bestFit="1" customWidth="1"/>
    <col min="7"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45">
        <v>0.11204639999999991</v>
      </c>
      <c r="D3" s="45">
        <v>0.1157812799999999</v>
      </c>
      <c r="E3" s="45">
        <v>0.11204639999999991</v>
      </c>
      <c r="F3" s="45">
        <v>0.1157812799999999</v>
      </c>
      <c r="G3" s="45"/>
      <c r="H3" s="45"/>
      <c r="I3" s="45"/>
      <c r="J3" s="45"/>
      <c r="K3" s="45"/>
      <c r="L3" s="45"/>
      <c r="M3" s="45"/>
      <c r="N3" s="45"/>
    </row>
    <row r="4" spans="2:14" x14ac:dyDescent="0.25">
      <c r="B4" s="10" t="s">
        <v>37</v>
      </c>
      <c r="C4" s="45">
        <v>1.6120484639999991E-2</v>
      </c>
      <c r="D4" s="45">
        <v>1.6657834127999992E-2</v>
      </c>
      <c r="E4" s="45">
        <v>1.6120484639999991E-2</v>
      </c>
      <c r="F4" s="45">
        <v>1.6657834127999992E-2</v>
      </c>
      <c r="G4" s="45"/>
      <c r="H4" s="45"/>
      <c r="I4" s="45"/>
      <c r="J4" s="45"/>
      <c r="K4" s="45"/>
      <c r="L4" s="45"/>
      <c r="M4" s="45"/>
      <c r="N4" s="45"/>
    </row>
    <row r="5" spans="2:14" x14ac:dyDescent="0.25">
      <c r="B5" s="10" t="s">
        <v>38</v>
      </c>
      <c r="C5" s="45">
        <v>1.638527E-2</v>
      </c>
      <c r="D5" s="45">
        <v>0.27202451</v>
      </c>
      <c r="E5" s="45">
        <v>3.3415591599999996</v>
      </c>
      <c r="F5" s="45">
        <v>6.0774469600000006E-2</v>
      </c>
      <c r="G5" s="45"/>
      <c r="H5" s="45"/>
      <c r="I5" s="45"/>
      <c r="J5" s="45"/>
      <c r="K5" s="45"/>
      <c r="L5" s="45"/>
      <c r="M5" s="45"/>
      <c r="N5" s="45"/>
    </row>
    <row r="6" spans="2:14" ht="16.5" customHeight="1" x14ac:dyDescent="0.25">
      <c r="B6" s="10" t="s">
        <v>39</v>
      </c>
      <c r="C6" s="45">
        <v>0</v>
      </c>
      <c r="D6" s="45">
        <v>0</v>
      </c>
      <c r="E6" s="45">
        <v>0</v>
      </c>
      <c r="F6" s="45">
        <v>0</v>
      </c>
      <c r="G6" s="45"/>
      <c r="H6" s="45"/>
      <c r="I6" s="45"/>
      <c r="J6" s="45"/>
      <c r="K6" s="45"/>
      <c r="L6" s="45"/>
      <c r="M6" s="45"/>
      <c r="N6" s="45"/>
    </row>
    <row r="7" spans="2:14" ht="15.75" customHeight="1" x14ac:dyDescent="0.25">
      <c r="B7" s="10" t="s">
        <v>40</v>
      </c>
      <c r="C7" s="45">
        <v>0</v>
      </c>
      <c r="D7" s="45">
        <v>0</v>
      </c>
      <c r="E7" s="45">
        <v>0</v>
      </c>
      <c r="F7" s="45">
        <v>0</v>
      </c>
      <c r="G7" s="45"/>
      <c r="H7" s="45"/>
      <c r="I7" s="45"/>
      <c r="J7" s="45"/>
      <c r="K7" s="45"/>
      <c r="L7" s="45"/>
      <c r="M7" s="45"/>
      <c r="N7" s="45"/>
    </row>
    <row r="8" spans="2:14" x14ac:dyDescent="0.25">
      <c r="B8" s="10" t="s">
        <v>144</v>
      </c>
      <c r="C8" s="45">
        <v>2.59546163</v>
      </c>
      <c r="D8" s="45">
        <v>0.23406667000000003</v>
      </c>
      <c r="E8" s="45">
        <v>7.4999999999999997E-2</v>
      </c>
      <c r="F8" s="45">
        <v>0</v>
      </c>
      <c r="G8" s="45"/>
      <c r="H8" s="45"/>
      <c r="I8" s="45"/>
      <c r="J8" s="45"/>
      <c r="K8" s="45"/>
      <c r="L8" s="45"/>
      <c r="M8" s="45"/>
      <c r="N8" s="45"/>
    </row>
    <row r="11" spans="2:14" x14ac:dyDescent="0.25">
      <c r="B11" s="2" t="s">
        <v>87</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6" t="s">
        <v>174</v>
      </c>
      <c r="C12" s="47">
        <v>18.765142204345864</v>
      </c>
      <c r="D12" s="47">
        <v>13.595507872581498</v>
      </c>
      <c r="E12" s="45">
        <v>31.706426889172153</v>
      </c>
      <c r="F12" s="45">
        <v>23.142327037999269</v>
      </c>
      <c r="G12" s="45"/>
      <c r="H12" s="45"/>
      <c r="I12" s="45"/>
      <c r="J12" s="45"/>
      <c r="K12" s="45"/>
      <c r="L12" s="45"/>
      <c r="M12" s="45"/>
      <c r="N12" s="45"/>
    </row>
    <row r="13" spans="2:14" x14ac:dyDescent="0.25">
      <c r="B13" s="56" t="s">
        <v>175</v>
      </c>
      <c r="C13" s="47">
        <v>3.9531621856272401</v>
      </c>
      <c r="D13" s="45">
        <v>10.332102736896459</v>
      </c>
      <c r="E13" s="45">
        <v>15.618365026992388</v>
      </c>
      <c r="F13" s="45">
        <v>15.814284003256748</v>
      </c>
      <c r="G13" s="45"/>
      <c r="H13" s="45"/>
      <c r="I13" s="45"/>
      <c r="J13" s="45"/>
      <c r="K13" s="45"/>
      <c r="L13" s="45"/>
      <c r="M13" s="45"/>
      <c r="N13" s="45"/>
    </row>
    <row r="14" spans="2:14" x14ac:dyDescent="0.25">
      <c r="B14" s="56" t="s">
        <v>167</v>
      </c>
      <c r="C14" s="47">
        <v>0</v>
      </c>
      <c r="D14" s="45">
        <v>0</v>
      </c>
      <c r="E14" s="45">
        <v>0</v>
      </c>
      <c r="F14" s="45">
        <v>0</v>
      </c>
      <c r="G14" s="45"/>
      <c r="H14" s="45"/>
      <c r="I14" s="45"/>
      <c r="J14" s="45"/>
      <c r="K14" s="45"/>
      <c r="L14" s="45"/>
      <c r="M14" s="45"/>
      <c r="N14" s="45"/>
    </row>
    <row r="15" spans="2:14" x14ac:dyDescent="0.25">
      <c r="B15" s="56" t="s">
        <v>169</v>
      </c>
      <c r="C15" s="45">
        <v>2.7400137846400008</v>
      </c>
      <c r="D15" s="45">
        <v>0.63853029412799978</v>
      </c>
      <c r="E15" s="45">
        <v>3.5447260446399995</v>
      </c>
      <c r="F15" s="45">
        <v>0.19321358372800002</v>
      </c>
      <c r="G15" s="45"/>
      <c r="H15" s="45"/>
      <c r="I15" s="45"/>
      <c r="J15" s="45"/>
      <c r="K15" s="45"/>
      <c r="L15" s="45"/>
      <c r="M15" s="45"/>
      <c r="N15" s="45"/>
    </row>
    <row r="16" spans="2:14" x14ac:dyDescent="0.25">
      <c r="B16" s="56" t="s">
        <v>168</v>
      </c>
      <c r="C16" s="45">
        <v>1.1220409547104937</v>
      </c>
      <c r="D16" s="45">
        <v>1.3614640063926633</v>
      </c>
      <c r="E16" s="45">
        <v>0.24167062707101611</v>
      </c>
      <c r="F16" s="45">
        <v>0.90010988438616746</v>
      </c>
      <c r="G16" s="45"/>
      <c r="H16" s="45"/>
      <c r="I16" s="45"/>
      <c r="J16" s="45"/>
      <c r="K16" s="45"/>
      <c r="L16" s="45"/>
      <c r="M16" s="45"/>
      <c r="N16" s="45"/>
    </row>
    <row r="17" spans="2:14" x14ac:dyDescent="0.25">
      <c r="B17" s="56" t="s">
        <v>170</v>
      </c>
      <c r="C17" s="45">
        <v>3.4256341829807981</v>
      </c>
      <c r="D17" s="45">
        <v>8.4802055770717946</v>
      </c>
      <c r="E17" s="45">
        <v>9.8497403128981453</v>
      </c>
      <c r="F17" s="45">
        <v>11.216732253211353</v>
      </c>
      <c r="G17" s="45"/>
      <c r="H17" s="45"/>
      <c r="I17" s="45"/>
      <c r="J17" s="45"/>
      <c r="K17" s="45"/>
      <c r="L17" s="45"/>
      <c r="M17" s="45"/>
      <c r="N17" s="45"/>
    </row>
    <row r="18" spans="2:14" x14ac:dyDescent="0.25">
      <c r="B18" s="56" t="s">
        <v>86</v>
      </c>
      <c r="C18" s="45">
        <v>0</v>
      </c>
      <c r="D18" s="45">
        <v>0</v>
      </c>
      <c r="E18" s="45">
        <v>0</v>
      </c>
      <c r="F18" s="45">
        <v>0</v>
      </c>
      <c r="G18" s="45"/>
      <c r="H18" s="45"/>
      <c r="I18" s="45"/>
      <c r="J18" s="45"/>
      <c r="K18" s="45"/>
      <c r="L18" s="45"/>
      <c r="M18" s="45"/>
      <c r="N18" s="45"/>
    </row>
    <row r="19" spans="2:14" x14ac:dyDescent="0.25">
      <c r="B19" s="56" t="s">
        <v>172</v>
      </c>
      <c r="C19" s="45">
        <v>2.7400137846400008</v>
      </c>
      <c r="D19" s="45">
        <v>0.63853029412799978</v>
      </c>
      <c r="E19" s="45">
        <v>3.5447260446399995</v>
      </c>
      <c r="F19" s="45">
        <v>0.19321358372800002</v>
      </c>
      <c r="G19" s="45"/>
      <c r="H19" s="45"/>
      <c r="I19" s="45"/>
      <c r="J19" s="45"/>
      <c r="K19" s="45"/>
      <c r="L19" s="45"/>
      <c r="M19" s="45"/>
      <c r="N19" s="45"/>
    </row>
    <row r="22" spans="2:14" x14ac:dyDescent="0.25">
      <c r="B22" s="2" t="s">
        <v>173</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6" t="s">
        <v>174</v>
      </c>
      <c r="C23" s="15">
        <v>223524.63400000002</v>
      </c>
      <c r="D23" s="15">
        <v>169041.23699999991</v>
      </c>
      <c r="E23" s="15">
        <v>486056.89000000031</v>
      </c>
      <c r="F23" s="15">
        <v>240083.21600000001</v>
      </c>
      <c r="G23" s="15"/>
      <c r="H23" s="15"/>
      <c r="I23" s="15"/>
      <c r="J23" s="15"/>
      <c r="K23" s="15"/>
      <c r="L23" s="15"/>
      <c r="M23" s="15"/>
      <c r="N23" s="15"/>
    </row>
    <row r="24" spans="2:14" x14ac:dyDescent="0.25">
      <c r="B24" s="56" t="s">
        <v>175</v>
      </c>
      <c r="C24" s="15">
        <v>2867</v>
      </c>
      <c r="D24" s="15">
        <v>6502.5</v>
      </c>
      <c r="E24" s="15">
        <v>36191.4</v>
      </c>
      <c r="F24" s="15">
        <v>67527</v>
      </c>
      <c r="G24" s="15"/>
      <c r="H24" s="15"/>
      <c r="I24" s="15"/>
      <c r="J24" s="15"/>
      <c r="K24" s="15"/>
      <c r="L24" s="15"/>
      <c r="M24" s="15"/>
      <c r="N24" s="15"/>
    </row>
    <row r="25" spans="2:14" x14ac:dyDescent="0.25">
      <c r="B25" s="56" t="s">
        <v>167</v>
      </c>
      <c r="C25" s="15">
        <v>29230.236000000001</v>
      </c>
      <c r="D25" s="15">
        <v>38818.62200000001</v>
      </c>
      <c r="E25" s="15">
        <v>36772.302999999993</v>
      </c>
      <c r="F25" s="15">
        <v>9742.6910000000007</v>
      </c>
      <c r="G25" s="15"/>
      <c r="H25" s="15"/>
      <c r="I25" s="15"/>
      <c r="J25" s="15"/>
      <c r="K25" s="15"/>
      <c r="L25" s="15"/>
      <c r="M25" s="15"/>
      <c r="N25" s="15"/>
    </row>
    <row r="26" spans="2:14" x14ac:dyDescent="0.25">
      <c r="B26" s="56" t="s">
        <v>169</v>
      </c>
      <c r="C26" s="15">
        <v>20584</v>
      </c>
      <c r="D26" s="15">
        <v>70647.5</v>
      </c>
      <c r="E26" s="15">
        <v>108898</v>
      </c>
      <c r="F26" s="15">
        <v>100644.5</v>
      </c>
      <c r="G26" s="15"/>
      <c r="H26" s="15"/>
      <c r="I26" s="15"/>
      <c r="J26" s="15"/>
      <c r="K26" s="15"/>
      <c r="L26" s="15"/>
      <c r="M26" s="15"/>
      <c r="N26" s="15"/>
    </row>
    <row r="27" spans="2:14" x14ac:dyDescent="0.25">
      <c r="B27" s="56" t="s">
        <v>168</v>
      </c>
      <c r="C27" s="29">
        <v>31162.47</v>
      </c>
      <c r="D27" s="29">
        <v>29151.453999999994</v>
      </c>
      <c r="E27" s="29">
        <v>14146.085000000003</v>
      </c>
      <c r="F27" s="29">
        <v>40904.041999999994</v>
      </c>
      <c r="G27" s="29"/>
      <c r="H27" s="29"/>
      <c r="I27" s="29"/>
      <c r="J27" s="29"/>
      <c r="K27" s="29"/>
      <c r="L27" s="29"/>
      <c r="M27" s="29"/>
      <c r="N27" s="29"/>
    </row>
    <row r="28" spans="2:14" x14ac:dyDescent="0.25">
      <c r="B28" s="56" t="s">
        <v>170</v>
      </c>
      <c r="C28" s="29">
        <v>101715</v>
      </c>
      <c r="D28" s="29">
        <v>215551</v>
      </c>
      <c r="E28" s="29">
        <v>194531.5</v>
      </c>
      <c r="F28" s="29">
        <v>226187</v>
      </c>
      <c r="G28" s="29"/>
      <c r="H28" s="29"/>
      <c r="I28" s="29"/>
      <c r="J28" s="29"/>
      <c r="K28" s="29"/>
      <c r="L28" s="29"/>
      <c r="M28" s="29"/>
      <c r="N28" s="29"/>
    </row>
    <row r="29" spans="2:14" x14ac:dyDescent="0.25">
      <c r="B29" s="56" t="s">
        <v>86</v>
      </c>
      <c r="C29" s="29">
        <v>0</v>
      </c>
      <c r="D29" s="29">
        <v>0</v>
      </c>
      <c r="E29" s="29">
        <v>0</v>
      </c>
      <c r="F29" s="29">
        <v>0</v>
      </c>
      <c r="G29" s="29"/>
      <c r="H29" s="29"/>
      <c r="I29" s="29"/>
      <c r="J29" s="29"/>
      <c r="K29" s="29"/>
      <c r="L29" s="29"/>
      <c r="M29" s="29"/>
      <c r="N29" s="29"/>
    </row>
    <row r="34" spans="2:14" x14ac:dyDescent="0.25">
      <c r="B34" t="s">
        <v>178</v>
      </c>
    </row>
    <row r="35" spans="2:14" x14ac:dyDescent="0.25">
      <c r="B35" t="s">
        <v>172</v>
      </c>
      <c r="C35" s="13">
        <f>HLOOKUP(Main!E1,Constraints!C11:N19,9,FALSE)</f>
        <v>0.19321358372800002</v>
      </c>
    </row>
    <row r="48" spans="2:14" x14ac:dyDescent="0.25">
      <c r="C48" s="13"/>
      <c r="D48" s="13"/>
      <c r="E48" s="13"/>
      <c r="F48" s="13"/>
      <c r="G48" s="13"/>
      <c r="H48" s="13"/>
      <c r="I48" s="13"/>
      <c r="J48" s="13"/>
      <c r="K48" s="13"/>
      <c r="L48" s="13"/>
      <c r="M48" s="13"/>
      <c r="N48" s="13"/>
    </row>
    <row r="49" spans="2:14" x14ac:dyDescent="0.25">
      <c r="B49" s="49"/>
      <c r="C49" s="13"/>
      <c r="D49" s="13"/>
      <c r="E49" s="13"/>
      <c r="F49" s="13"/>
      <c r="G49" s="13"/>
      <c r="H49" s="13"/>
      <c r="I49" s="13"/>
      <c r="J49" s="13"/>
      <c r="K49" s="13"/>
      <c r="L49" s="13"/>
      <c r="M49" s="13"/>
      <c r="N49" s="13"/>
    </row>
    <row r="50" spans="2:14" x14ac:dyDescent="0.25">
      <c r="B50" s="49"/>
      <c r="C50" s="13"/>
      <c r="D50" s="13"/>
      <c r="E50" s="13"/>
      <c r="F50" s="13"/>
      <c r="G50" s="13"/>
      <c r="H50" s="13"/>
      <c r="I50" s="13"/>
      <c r="J50" s="13"/>
      <c r="K50" s="13"/>
      <c r="L50" s="13"/>
      <c r="M50" s="13"/>
      <c r="N50" s="13"/>
    </row>
    <row r="51" spans="2:14" x14ac:dyDescent="0.25">
      <c r="C51" s="13"/>
      <c r="D51" s="13"/>
      <c r="E51" s="13"/>
      <c r="F51" s="13"/>
      <c r="G51" s="13"/>
      <c r="H51" s="13"/>
      <c r="I51" s="13"/>
      <c r="J51" s="13"/>
      <c r="K51" s="13"/>
      <c r="L51" s="13"/>
      <c r="M51" s="13"/>
      <c r="N51" s="13"/>
    </row>
    <row r="52" spans="2:14" x14ac:dyDescent="0.25">
      <c r="B52" s="49"/>
      <c r="C52" s="13"/>
      <c r="D52" s="13"/>
      <c r="E52" s="13"/>
      <c r="F52" s="13"/>
      <c r="G52" s="13"/>
      <c r="H52" s="13"/>
      <c r="I52" s="13"/>
      <c r="J52" s="13"/>
      <c r="K52" s="13"/>
      <c r="L52" s="13"/>
      <c r="M52" s="13"/>
      <c r="N52" s="13"/>
    </row>
    <row r="53" spans="2:14" x14ac:dyDescent="0.25">
      <c r="B53" s="50" t="s">
        <v>171</v>
      </c>
      <c r="C53" s="13"/>
      <c r="D53" s="13"/>
      <c r="E53" s="13"/>
      <c r="F53" s="13"/>
      <c r="G53" s="13"/>
      <c r="H53" s="13"/>
      <c r="I53" s="13"/>
      <c r="J53" s="13"/>
      <c r="K53" s="13"/>
      <c r="L53" s="13"/>
      <c r="M53" s="13"/>
      <c r="N53" s="13"/>
    </row>
    <row r="54" spans="2:14" x14ac:dyDescent="0.25">
      <c r="B54" s="49" t="str">
        <f>"Constraints - "&amp;TEXT(Main!E1,"mmm yyyy")</f>
        <v>Constraints - Jul 2018</v>
      </c>
      <c r="C54" s="13"/>
      <c r="D54" s="13"/>
      <c r="E54" s="13"/>
      <c r="F54" s="13"/>
      <c r="G54" s="13"/>
      <c r="H54" s="13"/>
      <c r="I54" s="13"/>
      <c r="J54" s="13"/>
      <c r="K54" s="13"/>
      <c r="L54" s="13"/>
      <c r="M54" s="13"/>
      <c r="N54" s="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D20" sqref="D20"/>
    </sheetView>
  </sheetViews>
  <sheetFormatPr defaultRowHeight="15" x14ac:dyDescent="0.25"/>
  <cols>
    <col min="2" max="2" width="24.5703125" bestFit="1" customWidth="1"/>
    <col min="3" max="3" width="12.42578125" bestFit="1" customWidth="1"/>
    <col min="4" max="5" width="9.7109375" bestFit="1"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88</v>
      </c>
      <c r="C3" s="45">
        <v>0.22926964812080999</v>
      </c>
      <c r="D3" s="45">
        <v>8.3770135558110012E-2</v>
      </c>
      <c r="E3" s="45">
        <v>7.4540071759729987E-2</v>
      </c>
      <c r="F3" s="45">
        <v>1.6393653292760001E-2</v>
      </c>
      <c r="G3" s="45"/>
      <c r="H3" s="45"/>
      <c r="I3" s="45"/>
      <c r="J3" s="45"/>
      <c r="K3" s="45"/>
      <c r="L3" s="45"/>
      <c r="M3" s="45"/>
      <c r="N3" s="45"/>
      <c r="AC3" s="1"/>
    </row>
    <row r="4" spans="2:29" x14ac:dyDescent="0.25">
      <c r="B4" s="10" t="s">
        <v>89</v>
      </c>
      <c r="C4" s="45">
        <v>0.19076406297142001</v>
      </c>
      <c r="D4" s="45">
        <v>1.9737017589767301</v>
      </c>
      <c r="E4" s="45">
        <v>0.33233941992889998</v>
      </c>
      <c r="F4" s="47">
        <v>0.55117045496392991</v>
      </c>
      <c r="G4" s="47"/>
      <c r="H4" s="47"/>
      <c r="I4" s="47"/>
      <c r="J4" s="47"/>
      <c r="K4" s="47"/>
      <c r="L4" s="47"/>
      <c r="M4" s="47"/>
      <c r="N4" s="47"/>
      <c r="AC4" s="1"/>
    </row>
    <row r="5" spans="2:29" x14ac:dyDescent="0.25">
      <c r="B5" s="10" t="s">
        <v>90</v>
      </c>
      <c r="C5" s="45">
        <v>0</v>
      </c>
      <c r="D5" s="45">
        <v>0</v>
      </c>
      <c r="E5" s="45">
        <v>8.8663725995000002E-4</v>
      </c>
      <c r="F5" s="47">
        <v>4.4665580622500001E-3</v>
      </c>
      <c r="G5" s="47"/>
      <c r="H5" s="47"/>
      <c r="I5" s="47"/>
      <c r="J5" s="47"/>
      <c r="K5" s="47"/>
      <c r="L5" s="47"/>
      <c r="M5" s="47"/>
      <c r="N5" s="47"/>
      <c r="AC5" s="1"/>
    </row>
    <row r="9" spans="2:29" x14ac:dyDescent="0.25">
      <c r="B9" s="2" t="s">
        <v>115</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116</v>
      </c>
      <c r="C10" s="15">
        <v>-7746.0359999999982</v>
      </c>
      <c r="D10" s="15">
        <v>-2620.02</v>
      </c>
      <c r="E10" s="15">
        <v>-1634.1059999999998</v>
      </c>
      <c r="F10" s="15">
        <v>-807.94100000000003</v>
      </c>
      <c r="G10" s="15"/>
      <c r="H10" s="15"/>
      <c r="I10" s="15"/>
      <c r="J10" s="15"/>
      <c r="K10" s="15"/>
      <c r="L10" s="15"/>
      <c r="M10" s="15"/>
      <c r="N10" s="15"/>
    </row>
    <row r="11" spans="2:29" x14ac:dyDescent="0.25">
      <c r="B11" s="10" t="s">
        <v>117</v>
      </c>
      <c r="C11" s="15">
        <v>-11600</v>
      </c>
      <c r="D11" s="15">
        <v>-61661</v>
      </c>
      <c r="E11" s="15">
        <v>-12300</v>
      </c>
      <c r="F11" s="15">
        <v>-26763</v>
      </c>
      <c r="G11" s="15"/>
      <c r="H11" s="15"/>
      <c r="I11" s="15"/>
      <c r="J11" s="15"/>
      <c r="K11" s="15"/>
      <c r="L11" s="15"/>
      <c r="M11" s="15"/>
      <c r="N11" s="15"/>
    </row>
    <row r="12" spans="2:29" x14ac:dyDescent="0.25">
      <c r="B12" s="10" t="s">
        <v>118</v>
      </c>
      <c r="C12" s="15">
        <v>0</v>
      </c>
      <c r="D12" s="15">
        <v>0</v>
      </c>
      <c r="E12" s="15">
        <v>-232.68299999999999</v>
      </c>
      <c r="F12" s="15">
        <v>-327.55799999999999</v>
      </c>
      <c r="G12" s="15"/>
      <c r="H12" s="15"/>
      <c r="I12" s="15"/>
      <c r="J12" s="15"/>
      <c r="K12" s="15"/>
      <c r="L12" s="15"/>
      <c r="M12" s="15"/>
      <c r="N12" s="15"/>
    </row>
    <row r="13" spans="2:29" x14ac:dyDescent="0.25">
      <c r="C13" s="28">
        <f>SUM(C10:C12)</f>
        <v>-19346.036</v>
      </c>
      <c r="D13" s="28">
        <f t="shared" ref="D13:N13" si="0">SUM(D10:D12)</f>
        <v>-64281.02</v>
      </c>
      <c r="E13" s="28">
        <f t="shared" si="0"/>
        <v>-14166.789000000001</v>
      </c>
      <c r="F13" s="28">
        <f t="shared" si="0"/>
        <v>-27898.499</v>
      </c>
      <c r="G13" s="28">
        <f t="shared" si="0"/>
        <v>0</v>
      </c>
      <c r="H13" s="28">
        <f t="shared" si="0"/>
        <v>0</v>
      </c>
      <c r="I13" s="28">
        <f t="shared" si="0"/>
        <v>0</v>
      </c>
      <c r="J13" s="28">
        <f t="shared" si="0"/>
        <v>0</v>
      </c>
      <c r="K13" s="28">
        <f t="shared" si="0"/>
        <v>0</v>
      </c>
      <c r="L13" s="28">
        <f t="shared" si="0"/>
        <v>0</v>
      </c>
      <c r="M13" s="28">
        <f t="shared" si="0"/>
        <v>0</v>
      </c>
      <c r="N13" s="28">
        <f t="shared" si="0"/>
        <v>0</v>
      </c>
    </row>
    <row r="16" spans="2:29" x14ac:dyDescent="0.25">
      <c r="B16" t="s">
        <v>178</v>
      </c>
    </row>
    <row r="17" spans="2:3" x14ac:dyDescent="0.25">
      <c r="B17" t="s">
        <v>93</v>
      </c>
      <c r="C17" s="55">
        <f>HLOOKUP(Main!E2,'Negative Reserves'!C9:N13,5,FALSE)</f>
        <v>-27898.499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42"/>
  <sheetViews>
    <sheetView zoomScale="70" zoomScaleNormal="70" workbookViewId="0">
      <selection activeCell="C17" sqref="C17:F19"/>
    </sheetView>
  </sheetViews>
  <sheetFormatPr defaultRowHeight="15" x14ac:dyDescent="0.25"/>
  <cols>
    <col min="2" max="2" width="60.28515625" customWidth="1"/>
    <col min="3" max="3" width="10.28515625" bestFit="1" customWidth="1"/>
    <col min="4" max="4" width="9.7109375" bestFit="1" customWidth="1"/>
    <col min="5" max="5" width="11"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5">
        <v>1.2439064946892198</v>
      </c>
      <c r="D3" s="45">
        <v>1.1411545099957201</v>
      </c>
      <c r="E3" s="45">
        <v>1.0350830117779699</v>
      </c>
      <c r="F3" s="45">
        <v>1.10678361505595</v>
      </c>
      <c r="G3" s="45"/>
      <c r="H3" s="45"/>
      <c r="I3" s="45"/>
      <c r="J3" s="45"/>
      <c r="K3" s="45"/>
      <c r="L3" s="45"/>
      <c r="M3" s="45"/>
      <c r="N3" s="45"/>
    </row>
    <row r="4" spans="2:14" x14ac:dyDescent="0.25">
      <c r="B4" s="10" t="s">
        <v>183</v>
      </c>
      <c r="C4" s="45">
        <v>4.0454750400000004</v>
      </c>
      <c r="D4" s="45">
        <v>4.0014732000000004</v>
      </c>
      <c r="E4" s="45">
        <v>4.1843799400000004</v>
      </c>
      <c r="F4" s="45">
        <v>5.6597566999999991</v>
      </c>
      <c r="G4" s="45"/>
      <c r="H4" s="45"/>
      <c r="I4" s="45"/>
      <c r="J4" s="45"/>
      <c r="K4" s="45"/>
      <c r="L4" s="45"/>
      <c r="M4" s="45"/>
      <c r="N4" s="45"/>
    </row>
    <row r="5" spans="2:14" x14ac:dyDescent="0.25">
      <c r="B5" s="10" t="s">
        <v>184</v>
      </c>
      <c r="C5" s="45">
        <v>0</v>
      </c>
      <c r="D5" s="45">
        <v>0</v>
      </c>
      <c r="E5" s="45">
        <v>0</v>
      </c>
      <c r="F5" s="45">
        <v>0</v>
      </c>
      <c r="G5" s="45"/>
      <c r="H5" s="45"/>
      <c r="I5" s="45"/>
      <c r="J5" s="45"/>
      <c r="K5" s="45"/>
      <c r="L5" s="45"/>
      <c r="M5" s="45"/>
      <c r="N5" s="45"/>
    </row>
    <row r="6" spans="2:14" x14ac:dyDescent="0.25">
      <c r="B6" s="10" t="s">
        <v>45</v>
      </c>
      <c r="C6" s="45">
        <v>3.2549999999999989E-2</v>
      </c>
      <c r="D6" s="45">
        <v>1.5050000000000006E-2</v>
      </c>
      <c r="E6" s="45">
        <v>5.2499999999999969E-3</v>
      </c>
      <c r="F6" s="45">
        <v>1.3649919999999991E-2</v>
      </c>
      <c r="G6" s="45"/>
      <c r="H6" s="45"/>
      <c r="I6" s="45"/>
      <c r="J6" s="45"/>
      <c r="K6" s="45"/>
      <c r="L6" s="45"/>
      <c r="M6" s="45"/>
      <c r="N6" s="45"/>
    </row>
    <row r="7" spans="2:14" x14ac:dyDescent="0.25">
      <c r="B7" s="10" t="s">
        <v>46</v>
      </c>
      <c r="C7" s="45">
        <v>0.15678468000000004</v>
      </c>
      <c r="D7" s="45">
        <v>6.3168480000000013E-2</v>
      </c>
      <c r="E7" s="45">
        <v>2.3231830000000019E-2</v>
      </c>
      <c r="F7" s="45">
        <v>5.1529749999999971E-2</v>
      </c>
      <c r="G7" s="45"/>
      <c r="H7" s="45"/>
      <c r="I7" s="45"/>
      <c r="J7" s="45"/>
      <c r="K7" s="45"/>
      <c r="L7" s="45"/>
      <c r="M7" s="45"/>
      <c r="N7" s="45"/>
    </row>
    <row r="8" spans="2:14" x14ac:dyDescent="0.25">
      <c r="B8" s="10" t="s">
        <v>44</v>
      </c>
      <c r="C8" s="45">
        <v>0.49896000000000024</v>
      </c>
      <c r="D8" s="45">
        <v>0.51483000000000023</v>
      </c>
      <c r="E8" s="45">
        <v>0.4831000000000002</v>
      </c>
      <c r="F8" s="45">
        <v>0.48825000000000024</v>
      </c>
      <c r="G8" s="45"/>
      <c r="H8" s="45"/>
      <c r="I8" s="45"/>
      <c r="J8" s="45"/>
      <c r="K8" s="45"/>
      <c r="L8" s="45"/>
      <c r="M8" s="45"/>
      <c r="N8" s="45"/>
    </row>
    <row r="9" spans="2:14" x14ac:dyDescent="0.25">
      <c r="B9" s="10" t="s">
        <v>47</v>
      </c>
      <c r="C9" s="45">
        <v>0.3743249999999998</v>
      </c>
      <c r="D9" s="45">
        <v>0.38680249999999977</v>
      </c>
      <c r="E9" s="45">
        <v>0.3743249999999998</v>
      </c>
      <c r="F9" s="45">
        <v>0.38680249999999977</v>
      </c>
      <c r="G9" s="45"/>
      <c r="H9" s="45"/>
      <c r="I9" s="45"/>
      <c r="J9" s="45"/>
      <c r="K9" s="45"/>
      <c r="L9" s="45"/>
      <c r="M9" s="45"/>
      <c r="N9" s="45"/>
    </row>
    <row r="10" spans="2:14" x14ac:dyDescent="0.25">
      <c r="B10" s="10" t="s">
        <v>48</v>
      </c>
      <c r="C10" s="45">
        <v>0.27623048999999994</v>
      </c>
      <c r="D10" s="45">
        <v>0.45542747000000017</v>
      </c>
      <c r="E10" s="45">
        <v>0.14368738900000003</v>
      </c>
      <c r="F10" s="45">
        <v>0.18238136999999993</v>
      </c>
      <c r="G10" s="45"/>
      <c r="H10" s="45"/>
      <c r="I10" s="45"/>
      <c r="J10" s="45"/>
      <c r="K10" s="45"/>
      <c r="L10" s="45"/>
      <c r="M10" s="45"/>
      <c r="N10" s="45"/>
    </row>
    <row r="11" spans="2:14" x14ac:dyDescent="0.25">
      <c r="B11" s="56" t="s">
        <v>159</v>
      </c>
      <c r="C11" s="45">
        <f>SUM(C3:C5,C8)</f>
        <v>5.78834153468922</v>
      </c>
      <c r="D11" s="45">
        <f t="shared" ref="D11:N11" si="0">SUM(D3:D5,D8)</f>
        <v>5.65745770999572</v>
      </c>
      <c r="E11" s="45">
        <f t="shared" si="0"/>
        <v>5.7025629517779706</v>
      </c>
      <c r="F11" s="45">
        <f t="shared" si="0"/>
        <v>7.2547903150559492</v>
      </c>
      <c r="G11" s="45">
        <f t="shared" si="0"/>
        <v>0</v>
      </c>
      <c r="H11" s="45">
        <f t="shared" si="0"/>
        <v>0</v>
      </c>
      <c r="I11" s="45">
        <f t="shared" si="0"/>
        <v>0</v>
      </c>
      <c r="J11" s="45">
        <f t="shared" si="0"/>
        <v>0</v>
      </c>
      <c r="K11" s="45">
        <f t="shared" si="0"/>
        <v>0</v>
      </c>
      <c r="L11" s="45">
        <f t="shared" si="0"/>
        <v>0</v>
      </c>
      <c r="M11" s="45">
        <f t="shared" si="0"/>
        <v>0</v>
      </c>
      <c r="N11" s="45">
        <f t="shared" si="0"/>
        <v>0</v>
      </c>
    </row>
    <row r="12" spans="2:14" x14ac:dyDescent="0.25">
      <c r="B12" s="56" t="s">
        <v>186</v>
      </c>
      <c r="C12" s="45">
        <f>SUM(C6:C7,C9:C10)</f>
        <v>0.83989016999999966</v>
      </c>
      <c r="D12" s="45">
        <f t="shared" ref="D12:N12" si="1">SUM(D6:D7,D9:D10)</f>
        <v>0.92044844999999997</v>
      </c>
      <c r="E12" s="45">
        <f t="shared" si="1"/>
        <v>0.54649421899999984</v>
      </c>
      <c r="F12" s="45">
        <f t="shared" si="1"/>
        <v>0.63436353999999961</v>
      </c>
      <c r="G12" s="45">
        <f t="shared" si="1"/>
        <v>0</v>
      </c>
      <c r="H12" s="45">
        <f t="shared" si="1"/>
        <v>0</v>
      </c>
      <c r="I12" s="45">
        <f t="shared" si="1"/>
        <v>0</v>
      </c>
      <c r="J12" s="45">
        <f t="shared" si="1"/>
        <v>0</v>
      </c>
      <c r="K12" s="45">
        <f t="shared" si="1"/>
        <v>0</v>
      </c>
      <c r="L12" s="45">
        <f t="shared" si="1"/>
        <v>0</v>
      </c>
      <c r="M12" s="45">
        <f t="shared" si="1"/>
        <v>0</v>
      </c>
      <c r="N12" s="45">
        <f t="shared" si="1"/>
        <v>0</v>
      </c>
    </row>
    <row r="16" spans="2:14" x14ac:dyDescent="0.25">
      <c r="B16" s="2" t="s">
        <v>93</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91</v>
      </c>
      <c r="C17" s="62">
        <v>63000</v>
      </c>
      <c r="D17" s="62">
        <v>65100</v>
      </c>
      <c r="E17" s="62">
        <v>46620</v>
      </c>
      <c r="F17" s="62">
        <v>65100</v>
      </c>
      <c r="G17" s="15"/>
      <c r="H17" s="15"/>
      <c r="I17" s="15"/>
      <c r="J17" s="15"/>
      <c r="K17" s="15"/>
      <c r="L17" s="15"/>
      <c r="M17" s="15"/>
      <c r="N17" s="15"/>
    </row>
    <row r="18" spans="2:14" x14ac:dyDescent="0.25">
      <c r="B18" s="10" t="s">
        <v>92</v>
      </c>
      <c r="C18" s="63">
        <v>90720</v>
      </c>
      <c r="D18" s="63">
        <v>93780</v>
      </c>
      <c r="E18" s="63">
        <v>91080</v>
      </c>
      <c r="F18" s="63">
        <v>93960</v>
      </c>
      <c r="G18" s="15"/>
      <c r="H18" s="15"/>
      <c r="I18" s="15"/>
      <c r="J18" s="15"/>
      <c r="K18" s="15"/>
      <c r="L18" s="15"/>
      <c r="M18" s="15"/>
      <c r="N18" s="15"/>
    </row>
    <row r="19" spans="2:14" x14ac:dyDescent="0.25">
      <c r="B19" s="10" t="s">
        <v>185</v>
      </c>
      <c r="C19" s="64">
        <v>159712.75</v>
      </c>
      <c r="D19" s="64">
        <v>159528.13</v>
      </c>
      <c r="E19" s="64">
        <v>164254.81</v>
      </c>
      <c r="F19" s="64">
        <v>221511.75</v>
      </c>
      <c r="G19" s="15"/>
      <c r="H19" s="15"/>
      <c r="I19" s="15"/>
      <c r="J19" s="15"/>
      <c r="K19" s="15"/>
      <c r="L19" s="15"/>
      <c r="M19" s="15"/>
      <c r="N19" s="15"/>
    </row>
    <row r="20" spans="2:14" x14ac:dyDescent="0.25">
      <c r="B20" s="10"/>
      <c r="C20" s="15"/>
      <c r="D20" s="15"/>
      <c r="E20" s="15"/>
      <c r="F20" s="15"/>
      <c r="G20" s="15"/>
      <c r="H20" s="15"/>
      <c r="I20" s="15"/>
      <c r="J20" s="15"/>
      <c r="K20" s="15"/>
      <c r="L20" s="15"/>
      <c r="M20" s="15"/>
      <c r="N20" s="15"/>
    </row>
    <row r="23" spans="2:14" x14ac:dyDescent="0.25">
      <c r="B23" t="s">
        <v>178</v>
      </c>
      <c r="C23" s="8"/>
    </row>
    <row r="24" spans="2:14" x14ac:dyDescent="0.25">
      <c r="B24" t="s">
        <v>180</v>
      </c>
      <c r="C24" s="57">
        <f>HLOOKUP(Main!$E$2,'Fast Reserve'!$C$2:$N$12,10,FALSE)</f>
        <v>7.2547903150559492</v>
      </c>
    </row>
    <row r="25" spans="2:14" x14ac:dyDescent="0.25">
      <c r="B25" t="s">
        <v>181</v>
      </c>
      <c r="C25" s="57">
        <f>HLOOKUP(Main!$E$2,'Fast Reserve'!$C$2:$N$12,11,FALSE)</f>
        <v>0.63436353999999961</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L46"/>
  <sheetViews>
    <sheetView zoomScale="55" zoomScaleNormal="55" workbookViewId="0">
      <selection activeCell="G23" sqref="G23"/>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1" bestFit="1" customWidth="1"/>
    <col min="11" max="11" width="11.28515625" bestFit="1" customWidth="1"/>
    <col min="12" max="12" width="11.5703125" bestFit="1" customWidth="1"/>
    <col min="13" max="13" width="10.85546875" bestFit="1" customWidth="1"/>
    <col min="14" max="14" width="11.5703125" bestFit="1" customWidth="1"/>
    <col min="15" max="32" width="3" bestFit="1" customWidth="1"/>
    <col min="33" max="33" width="3" customWidth="1"/>
    <col min="34"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5">
        <v>0.93277578673537997</v>
      </c>
      <c r="D3" s="45">
        <v>1.3639906408508395</v>
      </c>
      <c r="E3" s="45">
        <v>1.0084221412504</v>
      </c>
      <c r="F3" s="45">
        <v>1.5431241204595996</v>
      </c>
      <c r="G3" s="45"/>
      <c r="H3" s="45"/>
      <c r="I3" s="45"/>
      <c r="J3" s="45"/>
      <c r="K3" s="45"/>
      <c r="L3" s="45"/>
      <c r="M3" s="45"/>
      <c r="N3" s="45"/>
    </row>
    <row r="4" spans="2:14" x14ac:dyDescent="0.25">
      <c r="B4" s="17" t="s">
        <v>49</v>
      </c>
      <c r="C4" s="45">
        <v>1.00741858</v>
      </c>
      <c r="D4" s="45">
        <v>1.2940283699999999</v>
      </c>
      <c r="E4" s="45">
        <v>0.83104107999999999</v>
      </c>
      <c r="F4" s="45">
        <v>1.4231160200000006</v>
      </c>
      <c r="G4" s="45"/>
      <c r="H4" s="45"/>
      <c r="I4" s="45"/>
      <c r="J4" s="45"/>
      <c r="K4" s="45"/>
      <c r="L4" s="45"/>
      <c r="M4" s="45"/>
      <c r="N4" s="45"/>
    </row>
    <row r="5" spans="2:14" x14ac:dyDescent="0.25">
      <c r="B5" s="17" t="s">
        <v>50</v>
      </c>
      <c r="C5" s="45">
        <v>3.6332199999999982E-3</v>
      </c>
      <c r="D5" s="45">
        <v>2.4158499999999993E-3</v>
      </c>
      <c r="E5" s="45">
        <v>3.3382199999999985E-3</v>
      </c>
      <c r="F5" s="45">
        <v>2.2192079999999999E-2</v>
      </c>
      <c r="G5" s="45"/>
      <c r="H5" s="45"/>
      <c r="I5" s="45"/>
      <c r="J5" s="45"/>
      <c r="K5" s="45"/>
      <c r="L5" s="45"/>
      <c r="M5" s="45"/>
      <c r="N5" s="45"/>
    </row>
    <row r="6" spans="2:14" x14ac:dyDescent="0.25">
      <c r="B6" s="17" t="s">
        <v>51</v>
      </c>
      <c r="C6" s="45">
        <v>-1.7549590000000007E-2</v>
      </c>
      <c r="D6" s="45">
        <v>5.2887630000000005E-2</v>
      </c>
      <c r="E6" s="45">
        <v>1.1874399999999992E-2</v>
      </c>
      <c r="F6" s="45">
        <v>2.7315900000000086E-3</v>
      </c>
      <c r="G6" s="45"/>
      <c r="H6" s="45"/>
      <c r="I6" s="45"/>
      <c r="J6" s="45"/>
      <c r="K6" s="45"/>
      <c r="L6" s="45"/>
      <c r="M6" s="45"/>
      <c r="N6" s="45"/>
    </row>
    <row r="7" spans="2:14" x14ac:dyDescent="0.25">
      <c r="B7" s="17" t="s">
        <v>52</v>
      </c>
      <c r="C7" s="45">
        <v>2.4391029999999998E-2</v>
      </c>
      <c r="D7" s="45">
        <v>1.3107280000000001E-2</v>
      </c>
      <c r="E7" s="45">
        <v>2.2147460000000001E-2</v>
      </c>
      <c r="F7" s="45">
        <v>2.6845830000000005E-2</v>
      </c>
      <c r="G7" s="45"/>
      <c r="H7" s="45"/>
      <c r="I7" s="45"/>
      <c r="J7" s="45"/>
      <c r="K7" s="45"/>
      <c r="L7" s="45"/>
      <c r="M7" s="45"/>
      <c r="N7" s="45"/>
    </row>
    <row r="8" spans="2:14" x14ac:dyDescent="0.25">
      <c r="B8" s="17" t="s">
        <v>53</v>
      </c>
      <c r="C8" s="45">
        <v>4.9335000000000011E-2</v>
      </c>
      <c r="D8" s="45">
        <v>5.870149999999999E-2</v>
      </c>
      <c r="E8" s="45">
        <v>3.9289249999999991E-2</v>
      </c>
      <c r="F8" s="45">
        <v>8.1493830000000003E-2</v>
      </c>
      <c r="G8" s="45"/>
      <c r="H8" s="45"/>
      <c r="I8" s="45"/>
      <c r="J8" s="45"/>
      <c r="K8" s="45"/>
      <c r="L8" s="45"/>
      <c r="M8" s="45"/>
      <c r="N8" s="45"/>
    </row>
    <row r="9" spans="2:14" x14ac:dyDescent="0.25">
      <c r="B9" s="17" t="s">
        <v>54</v>
      </c>
      <c r="C9" s="45">
        <v>0.22949577999999995</v>
      </c>
      <c r="D9" s="45">
        <v>0.40629951999999991</v>
      </c>
      <c r="E9" s="45">
        <v>0.32227657999999998</v>
      </c>
      <c r="F9" s="45">
        <v>0.21654569999999998</v>
      </c>
      <c r="G9" s="45"/>
      <c r="H9" s="45"/>
      <c r="I9" s="45"/>
      <c r="J9" s="45"/>
      <c r="K9" s="45"/>
      <c r="L9" s="45"/>
      <c r="M9" s="45"/>
      <c r="N9" s="45"/>
    </row>
    <row r="10" spans="2:14" x14ac:dyDescent="0.25">
      <c r="B10" s="17" t="s">
        <v>119</v>
      </c>
      <c r="C10" s="45">
        <v>0</v>
      </c>
      <c r="D10" s="45">
        <v>0</v>
      </c>
      <c r="E10" s="45">
        <v>0</v>
      </c>
      <c r="F10" s="45">
        <v>0</v>
      </c>
      <c r="G10" s="45"/>
      <c r="H10" s="45"/>
      <c r="I10" s="45"/>
      <c r="J10" s="45"/>
      <c r="K10" s="45"/>
      <c r="L10" s="45"/>
      <c r="M10" s="45"/>
      <c r="N10" s="45"/>
    </row>
    <row r="11" spans="2:14" x14ac:dyDescent="0.25">
      <c r="B11" s="17" t="s">
        <v>55</v>
      </c>
      <c r="C11" s="45">
        <v>0</v>
      </c>
      <c r="D11" s="45">
        <v>0</v>
      </c>
      <c r="E11" s="45">
        <v>0</v>
      </c>
      <c r="F11" s="45">
        <v>0</v>
      </c>
      <c r="G11" s="45"/>
      <c r="H11" s="45"/>
      <c r="I11" s="45"/>
      <c r="J11" s="45"/>
      <c r="K11" s="45"/>
      <c r="L11" s="45"/>
      <c r="M11" s="45"/>
      <c r="N11" s="45"/>
    </row>
    <row r="12" spans="2:14" x14ac:dyDescent="0.25">
      <c r="B12" s="17" t="s">
        <v>120</v>
      </c>
      <c r="C12" s="45">
        <v>0.77432570999999983</v>
      </c>
      <c r="D12" s="45">
        <v>0.83880858000000003</v>
      </c>
      <c r="E12" s="45">
        <v>1.0104671499999993</v>
      </c>
      <c r="F12" s="45">
        <v>1.0850000000000004</v>
      </c>
      <c r="G12" s="45"/>
      <c r="H12" s="45"/>
      <c r="I12" s="45"/>
      <c r="J12" s="45"/>
      <c r="K12" s="45"/>
      <c r="L12" s="45"/>
      <c r="M12" s="45"/>
      <c r="N12" s="45"/>
    </row>
    <row r="13" spans="2:14" x14ac:dyDescent="0.25">
      <c r="B13" s="17" t="s">
        <v>56</v>
      </c>
      <c r="C13" s="45">
        <v>0.55342712999958976</v>
      </c>
      <c r="D13" s="45">
        <v>0.48931667999982198</v>
      </c>
      <c r="E13" s="45">
        <v>0.49979961918975363</v>
      </c>
      <c r="F13" s="45">
        <v>0.71148004000000009</v>
      </c>
      <c r="G13" s="45"/>
      <c r="H13" s="45"/>
      <c r="I13" s="45"/>
      <c r="J13" s="45"/>
      <c r="K13" s="45"/>
      <c r="L13" s="45"/>
      <c r="M13" s="45"/>
      <c r="N13" s="45"/>
    </row>
    <row r="14" spans="2:14" x14ac:dyDescent="0.25">
      <c r="B14" s="17" t="s">
        <v>57</v>
      </c>
      <c r="C14" s="45">
        <v>0</v>
      </c>
      <c r="D14" s="45">
        <v>0</v>
      </c>
      <c r="E14" s="45">
        <v>0</v>
      </c>
      <c r="F14" s="45">
        <v>0</v>
      </c>
      <c r="G14" s="45"/>
      <c r="H14" s="45"/>
      <c r="I14" s="45"/>
      <c r="J14" s="45"/>
      <c r="K14" s="45"/>
      <c r="L14" s="45"/>
      <c r="M14" s="45"/>
      <c r="N14" s="45"/>
    </row>
    <row r="15" spans="2:14" x14ac:dyDescent="0.25">
      <c r="B15" s="17" t="s">
        <v>58</v>
      </c>
      <c r="C15" s="45">
        <v>0.10699527999999996</v>
      </c>
      <c r="D15" s="45">
        <v>0.10449944999999995</v>
      </c>
      <c r="E15" s="45">
        <v>9.9662400000000026E-2</v>
      </c>
      <c r="F15" s="45">
        <v>6.8091350000000037E-2</v>
      </c>
      <c r="G15" s="45"/>
      <c r="H15" s="45"/>
      <c r="I15" s="45"/>
      <c r="J15" s="45"/>
      <c r="K15" s="45"/>
      <c r="L15" s="45"/>
      <c r="M15" s="45"/>
      <c r="N15" s="45"/>
    </row>
    <row r="16" spans="2:14" x14ac:dyDescent="0.25">
      <c r="B16" s="17" t="s">
        <v>122</v>
      </c>
      <c r="C16" s="45">
        <v>3.5310030000000006</v>
      </c>
      <c r="D16" s="45">
        <v>3.6054420000000014</v>
      </c>
      <c r="E16" s="45">
        <v>3.6156740000000003</v>
      </c>
      <c r="F16" s="45">
        <v>1.2472499999999997</v>
      </c>
      <c r="G16" s="45"/>
      <c r="H16" s="45"/>
      <c r="I16" s="45"/>
      <c r="J16" s="45"/>
      <c r="K16" s="45"/>
      <c r="L16" s="45"/>
      <c r="M16" s="45"/>
      <c r="N16" s="45"/>
    </row>
    <row r="17" spans="2:38" x14ac:dyDescent="0.25">
      <c r="B17" s="18" t="s">
        <v>121</v>
      </c>
      <c r="C17" s="45">
        <v>0.84099475000000012</v>
      </c>
      <c r="D17" s="45">
        <v>0.88697166999999999</v>
      </c>
      <c r="E17" s="45">
        <v>0.89147339000000003</v>
      </c>
      <c r="F17" s="45">
        <v>0.57234756000000009</v>
      </c>
      <c r="G17" s="45"/>
      <c r="H17" s="45"/>
      <c r="I17" s="45"/>
      <c r="J17" s="45"/>
      <c r="K17" s="45"/>
      <c r="L17" s="45"/>
      <c r="M17" s="45"/>
      <c r="N17" s="45"/>
    </row>
    <row r="18" spans="2:38" x14ac:dyDescent="0.25">
      <c r="B18" s="18" t="s">
        <v>123</v>
      </c>
      <c r="C18" s="45">
        <v>2.9607821000000003</v>
      </c>
      <c r="D18" s="45">
        <v>3.0617169700000004</v>
      </c>
      <c r="E18" s="45">
        <v>3.0741388499999998</v>
      </c>
      <c r="F18" s="45">
        <v>2.9885721599999999</v>
      </c>
      <c r="G18" s="45"/>
      <c r="H18" s="45"/>
      <c r="I18" s="45"/>
      <c r="J18" s="45"/>
      <c r="K18" s="45"/>
      <c r="L18" s="45"/>
      <c r="M18" s="45"/>
      <c r="N18" s="45"/>
    </row>
    <row r="21" spans="2:38" x14ac:dyDescent="0.25">
      <c r="C21" s="77">
        <v>43191</v>
      </c>
      <c r="D21" s="78"/>
      <c r="E21" s="79"/>
      <c r="F21" s="77">
        <v>43221</v>
      </c>
      <c r="G21" s="78"/>
      <c r="H21" s="79"/>
      <c r="I21" s="77">
        <v>43252</v>
      </c>
      <c r="J21" s="78"/>
      <c r="K21" s="79"/>
      <c r="L21" s="77">
        <v>43282</v>
      </c>
      <c r="M21" s="78"/>
      <c r="N21" s="79"/>
      <c r="O21" s="77">
        <v>43313</v>
      </c>
      <c r="P21" s="78"/>
      <c r="Q21" s="79"/>
      <c r="R21" s="77">
        <v>43344</v>
      </c>
      <c r="S21" s="78"/>
      <c r="T21" s="79"/>
      <c r="U21" s="77">
        <v>43374</v>
      </c>
      <c r="V21" s="78"/>
      <c r="W21" s="79"/>
      <c r="X21" s="77">
        <v>43405</v>
      </c>
      <c r="Y21" s="78"/>
      <c r="Z21" s="79"/>
      <c r="AA21" s="77">
        <v>43435</v>
      </c>
      <c r="AB21" s="78"/>
      <c r="AC21" s="79"/>
      <c r="AD21" s="77">
        <v>43466</v>
      </c>
      <c r="AE21" s="78"/>
      <c r="AF21" s="79"/>
      <c r="AG21" s="77">
        <v>43497</v>
      </c>
      <c r="AH21" s="78"/>
      <c r="AI21" s="79"/>
      <c r="AJ21" s="77">
        <v>43525</v>
      </c>
      <c r="AK21" s="78"/>
      <c r="AL21" s="79"/>
    </row>
    <row r="22" spans="2:38" x14ac:dyDescent="0.25">
      <c r="B22" s="6" t="s">
        <v>124</v>
      </c>
      <c r="C22" s="7" t="s">
        <v>125</v>
      </c>
      <c r="D22" s="7" t="s">
        <v>126</v>
      </c>
      <c r="E22" s="7" t="s">
        <v>127</v>
      </c>
      <c r="F22" s="7" t="s">
        <v>125</v>
      </c>
      <c r="G22" s="7" t="s">
        <v>126</v>
      </c>
      <c r="H22" s="7" t="s">
        <v>127</v>
      </c>
      <c r="I22" s="7" t="s">
        <v>125</v>
      </c>
      <c r="J22" s="7" t="s">
        <v>126</v>
      </c>
      <c r="K22" s="7" t="s">
        <v>127</v>
      </c>
      <c r="L22" s="7" t="s">
        <v>125</v>
      </c>
      <c r="M22" s="7" t="s">
        <v>126</v>
      </c>
      <c r="N22" s="7" t="s">
        <v>127</v>
      </c>
      <c r="O22" s="7" t="s">
        <v>125</v>
      </c>
      <c r="P22" s="7" t="s">
        <v>126</v>
      </c>
      <c r="Q22" s="7" t="s">
        <v>127</v>
      </c>
      <c r="R22" s="7" t="s">
        <v>125</v>
      </c>
      <c r="S22" s="7" t="s">
        <v>126</v>
      </c>
      <c r="T22" s="7" t="s">
        <v>127</v>
      </c>
      <c r="U22" s="7" t="s">
        <v>125</v>
      </c>
      <c r="V22" s="7" t="s">
        <v>126</v>
      </c>
      <c r="W22" s="7" t="s">
        <v>127</v>
      </c>
      <c r="X22" s="7" t="s">
        <v>125</v>
      </c>
      <c r="Y22" s="7" t="s">
        <v>126</v>
      </c>
      <c r="Z22" s="7" t="s">
        <v>127</v>
      </c>
      <c r="AA22" s="7" t="s">
        <v>125</v>
      </c>
      <c r="AB22" s="7" t="s">
        <v>126</v>
      </c>
      <c r="AC22" s="7" t="s">
        <v>127</v>
      </c>
      <c r="AD22" s="7" t="s">
        <v>125</v>
      </c>
      <c r="AE22" s="7" t="s">
        <v>126</v>
      </c>
      <c r="AF22" s="7" t="s">
        <v>127</v>
      </c>
      <c r="AG22" s="7" t="s">
        <v>125</v>
      </c>
      <c r="AH22" s="7" t="s">
        <v>126</v>
      </c>
      <c r="AI22" s="7" t="s">
        <v>127</v>
      </c>
      <c r="AJ22" s="7" t="s">
        <v>125</v>
      </c>
      <c r="AK22" s="7" t="s">
        <v>126</v>
      </c>
      <c r="AL22" s="7" t="s">
        <v>127</v>
      </c>
    </row>
    <row r="23" spans="2:38" x14ac:dyDescent="0.25">
      <c r="B23" s="17" t="s">
        <v>49</v>
      </c>
      <c r="C23" s="15">
        <v>107661.71799999999</v>
      </c>
      <c r="D23" s="15">
        <v>66922.085999999996</v>
      </c>
      <c r="E23" s="15">
        <v>185466.53700000001</v>
      </c>
      <c r="F23" s="15">
        <v>150171.685</v>
      </c>
      <c r="G23" s="15">
        <v>91998.91</v>
      </c>
      <c r="H23" s="43">
        <v>233097.58900000001</v>
      </c>
      <c r="I23" s="43">
        <v>104561.59099999999</v>
      </c>
      <c r="J23" s="43">
        <v>57607.064000000013</v>
      </c>
      <c r="K23" s="43">
        <v>144299.33500000002</v>
      </c>
      <c r="L23" s="66">
        <v>151506.82199999999</v>
      </c>
      <c r="M23" s="66">
        <v>97958.865000000049</v>
      </c>
      <c r="N23" s="66">
        <v>257625.087</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spans="2:38" x14ac:dyDescent="0.25">
      <c r="B24" s="1" t="s">
        <v>53</v>
      </c>
      <c r="C24" s="15">
        <v>0</v>
      </c>
      <c r="D24" s="15">
        <v>1687.68</v>
      </c>
      <c r="E24" s="15">
        <v>0</v>
      </c>
      <c r="F24" s="15">
        <v>0</v>
      </c>
      <c r="G24" s="15">
        <v>2044.17</v>
      </c>
      <c r="H24" s="15">
        <v>0</v>
      </c>
      <c r="I24" s="15">
        <v>0</v>
      </c>
      <c r="J24" s="43">
        <v>1344.87</v>
      </c>
      <c r="K24" s="15">
        <v>0</v>
      </c>
      <c r="L24" s="70">
        <v>0</v>
      </c>
      <c r="M24" s="69">
        <v>3021.29</v>
      </c>
      <c r="N24" s="70">
        <v>0</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spans="2:38" x14ac:dyDescent="0.25">
      <c r="B25" s="1" t="s">
        <v>54</v>
      </c>
      <c r="C25" s="15">
        <v>29234.1</v>
      </c>
      <c r="D25" s="15">
        <v>36194.6</v>
      </c>
      <c r="E25" s="15"/>
      <c r="F25" s="15">
        <v>49249.2</v>
      </c>
      <c r="G25" s="15">
        <v>60975.199999999997</v>
      </c>
      <c r="H25" s="15"/>
      <c r="I25" s="44">
        <v>42529.2</v>
      </c>
      <c r="J25" s="44">
        <v>52655.199999999997</v>
      </c>
      <c r="K25" s="15">
        <v>0</v>
      </c>
      <c r="L25" s="68">
        <v>27768.3</v>
      </c>
      <c r="M25" s="68">
        <v>34379.800000000003</v>
      </c>
      <c r="N25" s="15">
        <v>0</v>
      </c>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spans="2:38" x14ac:dyDescent="0.25">
      <c r="B26" s="1" t="s">
        <v>119</v>
      </c>
      <c r="C26" s="15">
        <v>0</v>
      </c>
      <c r="D26" s="15">
        <v>0</v>
      </c>
      <c r="E26" s="15">
        <v>0</v>
      </c>
      <c r="F26" s="15">
        <v>0</v>
      </c>
      <c r="G26" s="15">
        <v>0</v>
      </c>
      <c r="H26" s="15">
        <v>0</v>
      </c>
      <c r="I26" s="15">
        <v>0</v>
      </c>
      <c r="J26" s="15">
        <v>0</v>
      </c>
      <c r="K26" s="15">
        <v>0</v>
      </c>
      <c r="L26" s="15">
        <v>0</v>
      </c>
      <c r="M26" s="15">
        <v>0</v>
      </c>
      <c r="N26" s="15">
        <v>0</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38" x14ac:dyDescent="0.25">
      <c r="B27" s="1" t="s">
        <v>55</v>
      </c>
      <c r="C27" s="15">
        <v>0</v>
      </c>
      <c r="D27" s="15">
        <v>0</v>
      </c>
      <c r="E27" s="15">
        <v>0</v>
      </c>
      <c r="F27" s="15">
        <v>0</v>
      </c>
      <c r="G27" s="15">
        <v>0</v>
      </c>
      <c r="H27" s="15">
        <v>0</v>
      </c>
      <c r="I27" s="15">
        <v>0</v>
      </c>
      <c r="J27" s="15">
        <v>0</v>
      </c>
      <c r="K27" s="15">
        <v>0</v>
      </c>
      <c r="L27" s="15">
        <v>0</v>
      </c>
      <c r="M27" s="15">
        <v>0</v>
      </c>
      <c r="N27" s="15">
        <v>0</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spans="2:38" x14ac:dyDescent="0.25">
      <c r="B28" s="1" t="s">
        <v>120</v>
      </c>
      <c r="C28" s="15">
        <v>0</v>
      </c>
      <c r="D28" s="15">
        <v>0</v>
      </c>
      <c r="E28" s="15">
        <v>0</v>
      </c>
      <c r="F28" s="15">
        <v>0</v>
      </c>
      <c r="G28" s="15">
        <v>0</v>
      </c>
      <c r="H28" s="15">
        <v>0</v>
      </c>
      <c r="I28" s="15">
        <v>0</v>
      </c>
      <c r="J28" s="15">
        <v>0</v>
      </c>
      <c r="K28" s="15">
        <v>0</v>
      </c>
      <c r="L28" s="15">
        <v>0</v>
      </c>
      <c r="M28" s="15">
        <v>0</v>
      </c>
      <c r="N28" s="15">
        <v>0</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spans="2:38" x14ac:dyDescent="0.25">
      <c r="B29" s="1" t="s">
        <v>56</v>
      </c>
      <c r="C29" s="15">
        <v>0</v>
      </c>
      <c r="D29" s="15">
        <v>85038.61</v>
      </c>
      <c r="E29" s="15">
        <v>6712</v>
      </c>
      <c r="F29" s="15">
        <v>0</v>
      </c>
      <c r="G29" s="15">
        <v>76509.53</v>
      </c>
      <c r="H29" s="15">
        <v>4152</v>
      </c>
      <c r="I29" s="43">
        <v>0</v>
      </c>
      <c r="J29" s="43">
        <v>82753.248521882371</v>
      </c>
      <c r="K29" s="43">
        <v>664</v>
      </c>
      <c r="L29" s="71">
        <v>0</v>
      </c>
      <c r="M29" s="71">
        <v>114383.88892087407</v>
      </c>
      <c r="N29" s="71">
        <v>80</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spans="2:38" x14ac:dyDescent="0.25">
      <c r="B30" s="1" t="s">
        <v>57</v>
      </c>
      <c r="C30" s="15">
        <v>0</v>
      </c>
      <c r="D30" s="15">
        <v>0</v>
      </c>
      <c r="E30" s="15">
        <v>0</v>
      </c>
      <c r="F30" s="15">
        <v>0</v>
      </c>
      <c r="G30" s="15">
        <v>0</v>
      </c>
      <c r="H30" s="15">
        <v>0</v>
      </c>
      <c r="I30" s="15">
        <v>0</v>
      </c>
      <c r="J30" s="15">
        <v>0</v>
      </c>
      <c r="K30" s="15">
        <v>0</v>
      </c>
      <c r="L30" s="67">
        <v>0</v>
      </c>
      <c r="M30" s="67">
        <v>0</v>
      </c>
      <c r="N30" s="67">
        <v>0</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row>
    <row r="31" spans="2:38" x14ac:dyDescent="0.25">
      <c r="B31" s="1" t="s">
        <v>122</v>
      </c>
      <c r="C31" s="1">
        <v>225922</v>
      </c>
      <c r="D31" s="1">
        <v>190672</v>
      </c>
      <c r="E31" s="1">
        <v>111760</v>
      </c>
      <c r="F31" s="1">
        <v>235456</v>
      </c>
      <c r="G31" s="1">
        <v>198860.79999999999</v>
      </c>
      <c r="H31" s="1">
        <v>120956</v>
      </c>
      <c r="I31" s="1">
        <v>228498</v>
      </c>
      <c r="J31" s="1">
        <v>192779</v>
      </c>
      <c r="K31" s="1">
        <v>100660</v>
      </c>
      <c r="L31" s="65">
        <v>82286</v>
      </c>
      <c r="M31" s="65">
        <v>53050.6</v>
      </c>
      <c r="N31" s="65">
        <v>0</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row r="32" spans="2:38" x14ac:dyDescent="0.25">
      <c r="B32" s="1" t="s">
        <v>123</v>
      </c>
      <c r="C32" s="15">
        <v>83197.56</v>
      </c>
      <c r="D32" s="15">
        <v>250394.4725</v>
      </c>
      <c r="E32" s="15">
        <v>102007.56</v>
      </c>
      <c r="F32" s="15">
        <v>125423.58</v>
      </c>
      <c r="G32" s="15">
        <v>305355.53000000003</v>
      </c>
      <c r="H32" s="15">
        <v>122273.58</v>
      </c>
      <c r="I32" s="43">
        <v>137731</v>
      </c>
      <c r="J32" s="43">
        <v>336120</v>
      </c>
      <c r="K32" s="43">
        <v>143881</v>
      </c>
      <c r="L32" s="72">
        <v>121842</v>
      </c>
      <c r="M32" s="72">
        <v>353327.28</v>
      </c>
      <c r="N32" s="72">
        <v>111977</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spans="2:38" x14ac:dyDescent="0.25">
      <c r="C33" s="28">
        <f>SUM(C23:C32)</f>
        <v>446015.37799999997</v>
      </c>
      <c r="D33" s="28">
        <f t="shared" ref="D33:AL33" si="0">SUM(D23:D32)</f>
        <v>630909.44849999994</v>
      </c>
      <c r="E33" s="28">
        <f t="shared" si="0"/>
        <v>405946.09700000001</v>
      </c>
      <c r="F33" s="28">
        <f t="shared" si="0"/>
        <v>560300.46499999997</v>
      </c>
      <c r="G33" s="28">
        <f t="shared" si="0"/>
        <v>735744.14</v>
      </c>
      <c r="H33" s="28">
        <f t="shared" si="0"/>
        <v>480479.16900000005</v>
      </c>
      <c r="I33" s="28">
        <f t="shared" si="0"/>
        <v>513319.79099999997</v>
      </c>
      <c r="J33" s="28">
        <f t="shared" si="0"/>
        <v>723259.38252188242</v>
      </c>
      <c r="K33" s="28">
        <f t="shared" si="0"/>
        <v>389504.33500000002</v>
      </c>
      <c r="L33" s="28">
        <f t="shared" si="0"/>
        <v>383403.12199999997</v>
      </c>
      <c r="M33" s="28">
        <f t="shared" si="0"/>
        <v>656121.72392087406</v>
      </c>
      <c r="N33" s="28">
        <f t="shared" si="0"/>
        <v>369682.087</v>
      </c>
      <c r="O33" s="28">
        <f t="shared" si="0"/>
        <v>0</v>
      </c>
      <c r="P33" s="28">
        <f t="shared" si="0"/>
        <v>0</v>
      </c>
      <c r="Q33" s="28">
        <f t="shared" si="0"/>
        <v>0</v>
      </c>
      <c r="R33" s="28">
        <f t="shared" si="0"/>
        <v>0</v>
      </c>
      <c r="S33" s="28">
        <f t="shared" si="0"/>
        <v>0</v>
      </c>
      <c r="T33" s="28">
        <f t="shared" si="0"/>
        <v>0</v>
      </c>
      <c r="U33" s="28">
        <f t="shared" si="0"/>
        <v>0</v>
      </c>
      <c r="V33" s="28">
        <f t="shared" si="0"/>
        <v>0</v>
      </c>
      <c r="W33" s="28">
        <f t="shared" si="0"/>
        <v>0</v>
      </c>
      <c r="X33" s="28">
        <f t="shared" si="0"/>
        <v>0</v>
      </c>
      <c r="Y33" s="28">
        <f t="shared" si="0"/>
        <v>0</v>
      </c>
      <c r="Z33" s="28">
        <f t="shared" si="0"/>
        <v>0</v>
      </c>
      <c r="AA33" s="28">
        <f t="shared" si="0"/>
        <v>0</v>
      </c>
      <c r="AB33" s="28">
        <f t="shared" si="0"/>
        <v>0</v>
      </c>
      <c r="AC33" s="28">
        <f t="shared" si="0"/>
        <v>0</v>
      </c>
      <c r="AD33" s="28">
        <f t="shared" si="0"/>
        <v>0</v>
      </c>
      <c r="AE33" s="28">
        <f t="shared" si="0"/>
        <v>0</v>
      </c>
      <c r="AF33" s="28">
        <f t="shared" si="0"/>
        <v>0</v>
      </c>
      <c r="AG33" s="28">
        <f t="shared" si="0"/>
        <v>0</v>
      </c>
      <c r="AH33" s="28">
        <f t="shared" si="0"/>
        <v>0</v>
      </c>
      <c r="AI33" s="28">
        <f t="shared" si="0"/>
        <v>0</v>
      </c>
      <c r="AJ33" s="28">
        <f t="shared" si="0"/>
        <v>0</v>
      </c>
      <c r="AK33" s="28">
        <f t="shared" si="0"/>
        <v>0</v>
      </c>
      <c r="AL33" s="28">
        <f t="shared" si="0"/>
        <v>0</v>
      </c>
    </row>
    <row r="35" spans="2:38" x14ac:dyDescent="0.25">
      <c r="C35" s="77">
        <v>43191</v>
      </c>
      <c r="D35" s="78"/>
      <c r="E35" s="79"/>
      <c r="F35" s="77">
        <v>43221</v>
      </c>
      <c r="G35" s="78"/>
      <c r="H35" s="79"/>
      <c r="I35" s="77">
        <v>43252</v>
      </c>
      <c r="J35" s="78"/>
      <c r="K35" s="79"/>
      <c r="L35" s="77">
        <v>43282</v>
      </c>
      <c r="M35" s="78"/>
      <c r="N35" s="79"/>
      <c r="O35" s="77">
        <v>43313</v>
      </c>
      <c r="P35" s="78"/>
      <c r="Q35" s="79"/>
      <c r="R35" s="77">
        <v>43344</v>
      </c>
      <c r="S35" s="78"/>
      <c r="T35" s="79"/>
      <c r="U35" s="77">
        <v>43374</v>
      </c>
      <c r="V35" s="78"/>
      <c r="W35" s="79"/>
      <c r="X35" s="77">
        <v>43405</v>
      </c>
      <c r="Y35" s="78"/>
      <c r="Z35" s="79"/>
      <c r="AA35" s="77">
        <v>43435</v>
      </c>
      <c r="AB35" s="78"/>
      <c r="AC35" s="79"/>
      <c r="AD35" s="77">
        <v>43466</v>
      </c>
      <c r="AE35" s="78"/>
      <c r="AF35" s="79"/>
      <c r="AG35" s="77">
        <v>43497</v>
      </c>
      <c r="AH35" s="78"/>
      <c r="AI35" s="79"/>
      <c r="AJ35" s="77">
        <v>43525</v>
      </c>
      <c r="AK35" s="78"/>
      <c r="AL35" s="79"/>
    </row>
    <row r="36" spans="2:38" x14ac:dyDescent="0.25">
      <c r="B36" s="6" t="s">
        <v>128</v>
      </c>
      <c r="C36" s="7" t="s">
        <v>125</v>
      </c>
      <c r="D36" s="7" t="s">
        <v>126</v>
      </c>
      <c r="E36" s="7" t="s">
        <v>127</v>
      </c>
      <c r="F36" s="7" t="s">
        <v>125</v>
      </c>
      <c r="G36" s="7" t="s">
        <v>126</v>
      </c>
      <c r="H36" s="7" t="s">
        <v>127</v>
      </c>
      <c r="I36" s="7" t="s">
        <v>125</v>
      </c>
      <c r="J36" s="7" t="s">
        <v>126</v>
      </c>
      <c r="K36" s="7" t="s">
        <v>127</v>
      </c>
      <c r="L36" s="7" t="s">
        <v>125</v>
      </c>
      <c r="M36" s="7" t="s">
        <v>126</v>
      </c>
      <c r="N36" s="7" t="s">
        <v>127</v>
      </c>
      <c r="O36" s="7" t="s">
        <v>125</v>
      </c>
      <c r="P36" s="7" t="s">
        <v>126</v>
      </c>
      <c r="Q36" s="7" t="s">
        <v>127</v>
      </c>
      <c r="R36" s="7" t="s">
        <v>125</v>
      </c>
      <c r="S36" s="7" t="s">
        <v>126</v>
      </c>
      <c r="T36" s="7" t="s">
        <v>127</v>
      </c>
      <c r="U36" s="7" t="s">
        <v>125</v>
      </c>
      <c r="V36" s="7" t="s">
        <v>126</v>
      </c>
      <c r="W36" s="7" t="s">
        <v>127</v>
      </c>
      <c r="X36" s="7" t="s">
        <v>125</v>
      </c>
      <c r="Y36" s="7" t="s">
        <v>126</v>
      </c>
      <c r="Z36" s="7" t="s">
        <v>127</v>
      </c>
      <c r="AA36" s="7" t="s">
        <v>125</v>
      </c>
      <c r="AB36" s="7" t="s">
        <v>126</v>
      </c>
      <c r="AC36" s="7" t="s">
        <v>127</v>
      </c>
      <c r="AD36" s="7" t="s">
        <v>125</v>
      </c>
      <c r="AE36" s="7" t="s">
        <v>126</v>
      </c>
      <c r="AF36" s="7" t="s">
        <v>127</v>
      </c>
      <c r="AG36" s="7" t="s">
        <v>125</v>
      </c>
      <c r="AH36" s="7" t="s">
        <v>126</v>
      </c>
      <c r="AI36" s="7" t="s">
        <v>127</v>
      </c>
      <c r="AJ36" s="7" t="s">
        <v>125</v>
      </c>
      <c r="AK36" s="7" t="s">
        <v>126</v>
      </c>
      <c r="AL36" s="7" t="s">
        <v>127</v>
      </c>
    </row>
    <row r="37" spans="2:38" x14ac:dyDescent="0.25">
      <c r="B37" s="17" t="s">
        <v>49</v>
      </c>
      <c r="C37" s="29">
        <f t="shared" ref="C37:E46" si="1">C23/1000</f>
        <v>107.66171799999999</v>
      </c>
      <c r="D37" s="29">
        <f t="shared" si="1"/>
        <v>66.922085999999993</v>
      </c>
      <c r="E37" s="29">
        <f t="shared" si="1"/>
        <v>185.46653700000002</v>
      </c>
      <c r="F37" s="29">
        <f t="shared" ref="F37:H37" si="2">F23/1000</f>
        <v>150.171685</v>
      </c>
      <c r="G37" s="29">
        <f t="shared" si="2"/>
        <v>91.998910000000009</v>
      </c>
      <c r="H37" s="29">
        <f t="shared" si="2"/>
        <v>233.097589</v>
      </c>
      <c r="I37" s="29">
        <f t="shared" ref="I37:N37" si="3">I23/1000</f>
        <v>104.56159099999999</v>
      </c>
      <c r="J37" s="29">
        <f t="shared" si="3"/>
        <v>57.607064000000015</v>
      </c>
      <c r="K37" s="29">
        <f t="shared" si="3"/>
        <v>144.29933500000001</v>
      </c>
      <c r="L37" s="29">
        <f t="shared" si="3"/>
        <v>151.506822</v>
      </c>
      <c r="M37" s="29">
        <f t="shared" si="3"/>
        <v>97.958865000000046</v>
      </c>
      <c r="N37" s="29">
        <f t="shared" si="3"/>
        <v>257.62508700000001</v>
      </c>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x14ac:dyDescent="0.25">
      <c r="B38" s="1" t="s">
        <v>53</v>
      </c>
      <c r="C38" s="29">
        <f t="shared" si="1"/>
        <v>0</v>
      </c>
      <c r="D38" s="29">
        <f t="shared" si="1"/>
        <v>1.6876800000000001</v>
      </c>
      <c r="E38" s="29">
        <f t="shared" si="1"/>
        <v>0</v>
      </c>
      <c r="F38" s="29">
        <f t="shared" ref="F38:H38" si="4">F24/1000</f>
        <v>0</v>
      </c>
      <c r="G38" s="29">
        <f t="shared" si="4"/>
        <v>2.0441700000000003</v>
      </c>
      <c r="H38" s="29">
        <f t="shared" si="4"/>
        <v>0</v>
      </c>
      <c r="I38" s="29">
        <f t="shared" ref="I38:N38" si="5">I24/1000</f>
        <v>0</v>
      </c>
      <c r="J38" s="29">
        <f t="shared" si="5"/>
        <v>1.3448699999999998</v>
      </c>
      <c r="K38" s="29">
        <f t="shared" si="5"/>
        <v>0</v>
      </c>
      <c r="L38" s="29">
        <f t="shared" si="5"/>
        <v>0</v>
      </c>
      <c r="M38" s="29">
        <f t="shared" si="5"/>
        <v>3.02129</v>
      </c>
      <c r="N38" s="29">
        <f t="shared" si="5"/>
        <v>0</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x14ac:dyDescent="0.25">
      <c r="B39" s="1" t="s">
        <v>54</v>
      </c>
      <c r="C39" s="29">
        <f t="shared" si="1"/>
        <v>29.234099999999998</v>
      </c>
      <c r="D39" s="29">
        <f t="shared" si="1"/>
        <v>36.194600000000001</v>
      </c>
      <c r="E39" s="29">
        <f t="shared" si="1"/>
        <v>0</v>
      </c>
      <c r="F39" s="29">
        <f t="shared" ref="F39:H39" si="6">F25/1000</f>
        <v>49.249199999999995</v>
      </c>
      <c r="G39" s="29">
        <f t="shared" si="6"/>
        <v>60.975199999999994</v>
      </c>
      <c r="H39" s="29">
        <f t="shared" si="6"/>
        <v>0</v>
      </c>
      <c r="I39" s="29">
        <f t="shared" ref="I39:N39" si="7">I25/1000</f>
        <v>42.529199999999996</v>
      </c>
      <c r="J39" s="29">
        <f t="shared" si="7"/>
        <v>52.655199999999994</v>
      </c>
      <c r="K39" s="29">
        <f t="shared" si="7"/>
        <v>0</v>
      </c>
      <c r="L39" s="29">
        <f t="shared" si="7"/>
        <v>27.7683</v>
      </c>
      <c r="M39" s="29">
        <f t="shared" si="7"/>
        <v>34.379800000000003</v>
      </c>
      <c r="N39" s="29">
        <f t="shared" si="7"/>
        <v>0</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x14ac:dyDescent="0.25">
      <c r="B40" s="1" t="s">
        <v>119</v>
      </c>
      <c r="C40" s="29">
        <f t="shared" si="1"/>
        <v>0</v>
      </c>
      <c r="D40" s="29">
        <f t="shared" si="1"/>
        <v>0</v>
      </c>
      <c r="E40" s="29">
        <f t="shared" si="1"/>
        <v>0</v>
      </c>
      <c r="F40" s="29">
        <f t="shared" ref="F40:H40" si="8">F26/1000</f>
        <v>0</v>
      </c>
      <c r="G40" s="29">
        <f t="shared" si="8"/>
        <v>0</v>
      </c>
      <c r="H40" s="29">
        <f t="shared" si="8"/>
        <v>0</v>
      </c>
      <c r="I40" s="29">
        <f t="shared" ref="I40:N40" si="9">I26/1000</f>
        <v>0</v>
      </c>
      <c r="J40" s="29">
        <f t="shared" si="9"/>
        <v>0</v>
      </c>
      <c r="K40" s="29">
        <f t="shared" si="9"/>
        <v>0</v>
      </c>
      <c r="L40" s="29">
        <f t="shared" si="9"/>
        <v>0</v>
      </c>
      <c r="M40" s="29">
        <f t="shared" si="9"/>
        <v>0</v>
      </c>
      <c r="N40" s="29">
        <f t="shared" si="9"/>
        <v>0</v>
      </c>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x14ac:dyDescent="0.25">
      <c r="B41" s="1" t="s">
        <v>55</v>
      </c>
      <c r="C41" s="29">
        <f t="shared" si="1"/>
        <v>0</v>
      </c>
      <c r="D41" s="29">
        <f t="shared" si="1"/>
        <v>0</v>
      </c>
      <c r="E41" s="29">
        <f t="shared" si="1"/>
        <v>0</v>
      </c>
      <c r="F41" s="29">
        <f t="shared" ref="F41:H41" si="10">F27/1000</f>
        <v>0</v>
      </c>
      <c r="G41" s="29">
        <f t="shared" si="10"/>
        <v>0</v>
      </c>
      <c r="H41" s="29">
        <f t="shared" si="10"/>
        <v>0</v>
      </c>
      <c r="I41" s="29">
        <f t="shared" ref="I41:N41" si="11">I27/1000</f>
        <v>0</v>
      </c>
      <c r="J41" s="29">
        <f t="shared" si="11"/>
        <v>0</v>
      </c>
      <c r="K41" s="29">
        <f t="shared" si="11"/>
        <v>0</v>
      </c>
      <c r="L41" s="29">
        <f t="shared" si="11"/>
        <v>0</v>
      </c>
      <c r="M41" s="29">
        <f t="shared" si="11"/>
        <v>0</v>
      </c>
      <c r="N41" s="29">
        <f t="shared" si="11"/>
        <v>0</v>
      </c>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x14ac:dyDescent="0.25">
      <c r="B42" s="1" t="s">
        <v>120</v>
      </c>
      <c r="C42" s="29">
        <f t="shared" si="1"/>
        <v>0</v>
      </c>
      <c r="D42" s="29">
        <f t="shared" si="1"/>
        <v>0</v>
      </c>
      <c r="E42" s="29">
        <f t="shared" si="1"/>
        <v>0</v>
      </c>
      <c r="F42" s="29">
        <f t="shared" ref="F42:H42" si="12">F28/1000</f>
        <v>0</v>
      </c>
      <c r="G42" s="29">
        <f t="shared" si="12"/>
        <v>0</v>
      </c>
      <c r="H42" s="29">
        <f t="shared" si="12"/>
        <v>0</v>
      </c>
      <c r="I42" s="29">
        <f t="shared" ref="I42:N42" si="13">I28/1000</f>
        <v>0</v>
      </c>
      <c r="J42" s="29">
        <f t="shared" si="13"/>
        <v>0</v>
      </c>
      <c r="K42" s="29">
        <f t="shared" si="13"/>
        <v>0</v>
      </c>
      <c r="L42" s="29">
        <f t="shared" si="13"/>
        <v>0</v>
      </c>
      <c r="M42" s="29">
        <f t="shared" si="13"/>
        <v>0</v>
      </c>
      <c r="N42" s="29">
        <f t="shared" si="13"/>
        <v>0</v>
      </c>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x14ac:dyDescent="0.25">
      <c r="B43" s="1" t="s">
        <v>56</v>
      </c>
      <c r="C43" s="29">
        <f t="shared" si="1"/>
        <v>0</v>
      </c>
      <c r="D43" s="29">
        <f t="shared" si="1"/>
        <v>85.038610000000006</v>
      </c>
      <c r="E43" s="29">
        <f t="shared" si="1"/>
        <v>6.7119999999999997</v>
      </c>
      <c r="F43" s="29">
        <f t="shared" ref="F43:H43" si="14">F29/1000</f>
        <v>0</v>
      </c>
      <c r="G43" s="29">
        <f t="shared" si="14"/>
        <v>76.509529999999998</v>
      </c>
      <c r="H43" s="29">
        <f t="shared" si="14"/>
        <v>4.1520000000000001</v>
      </c>
      <c r="I43" s="29">
        <f t="shared" ref="I43:N43" si="15">I29/1000</f>
        <v>0</v>
      </c>
      <c r="J43" s="29">
        <f t="shared" si="15"/>
        <v>82.753248521882369</v>
      </c>
      <c r="K43" s="29">
        <f t="shared" si="15"/>
        <v>0.66400000000000003</v>
      </c>
      <c r="L43" s="29">
        <f t="shared" si="15"/>
        <v>0</v>
      </c>
      <c r="M43" s="29">
        <f t="shared" si="15"/>
        <v>114.38388892087407</v>
      </c>
      <c r="N43" s="29">
        <f t="shared" si="15"/>
        <v>0.08</v>
      </c>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x14ac:dyDescent="0.25">
      <c r="B44" s="1" t="s">
        <v>57</v>
      </c>
      <c r="C44" s="29">
        <f t="shared" si="1"/>
        <v>0</v>
      </c>
      <c r="D44" s="29">
        <f t="shared" si="1"/>
        <v>0</v>
      </c>
      <c r="E44" s="29">
        <f t="shared" si="1"/>
        <v>0</v>
      </c>
      <c r="F44" s="29">
        <f t="shared" ref="F44:H44" si="16">F30/1000</f>
        <v>0</v>
      </c>
      <c r="G44" s="29">
        <f t="shared" si="16"/>
        <v>0</v>
      </c>
      <c r="H44" s="29">
        <f t="shared" si="16"/>
        <v>0</v>
      </c>
      <c r="I44" s="29">
        <f t="shared" ref="I44:N44" si="17">I30/1000</f>
        <v>0</v>
      </c>
      <c r="J44" s="29">
        <f t="shared" si="17"/>
        <v>0</v>
      </c>
      <c r="K44" s="29">
        <f t="shared" si="17"/>
        <v>0</v>
      </c>
      <c r="L44" s="29">
        <f t="shared" si="17"/>
        <v>0</v>
      </c>
      <c r="M44" s="29">
        <f t="shared" si="17"/>
        <v>0</v>
      </c>
      <c r="N44" s="29">
        <f t="shared" si="17"/>
        <v>0</v>
      </c>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x14ac:dyDescent="0.25">
      <c r="B45" s="1" t="s">
        <v>122</v>
      </c>
      <c r="C45" s="29">
        <f t="shared" si="1"/>
        <v>225.922</v>
      </c>
      <c r="D45" s="29">
        <f t="shared" si="1"/>
        <v>190.672</v>
      </c>
      <c r="E45" s="29">
        <f t="shared" si="1"/>
        <v>111.76</v>
      </c>
      <c r="F45" s="29">
        <f t="shared" ref="F45:H45" si="18">F31/1000</f>
        <v>235.45599999999999</v>
      </c>
      <c r="G45" s="29">
        <f t="shared" si="18"/>
        <v>198.86079999999998</v>
      </c>
      <c r="H45" s="29">
        <f t="shared" si="18"/>
        <v>120.956</v>
      </c>
      <c r="I45" s="29">
        <f t="shared" ref="I45:N45" si="19">I31/1000</f>
        <v>228.49799999999999</v>
      </c>
      <c r="J45" s="29">
        <f t="shared" si="19"/>
        <v>192.779</v>
      </c>
      <c r="K45" s="29">
        <f t="shared" si="19"/>
        <v>100.66</v>
      </c>
      <c r="L45" s="29">
        <f t="shared" si="19"/>
        <v>82.286000000000001</v>
      </c>
      <c r="M45" s="29">
        <f t="shared" si="19"/>
        <v>53.050599999999996</v>
      </c>
      <c r="N45" s="29">
        <f t="shared" si="19"/>
        <v>0</v>
      </c>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x14ac:dyDescent="0.25">
      <c r="B46" s="1" t="s">
        <v>123</v>
      </c>
      <c r="C46" s="29">
        <f t="shared" si="1"/>
        <v>83.197559999999996</v>
      </c>
      <c r="D46" s="29">
        <f t="shared" si="1"/>
        <v>250.39447250000001</v>
      </c>
      <c r="E46" s="29">
        <f t="shared" si="1"/>
        <v>102.00756</v>
      </c>
      <c r="F46" s="29">
        <f t="shared" ref="F46:H46" si="20">F32/1000</f>
        <v>125.42358</v>
      </c>
      <c r="G46" s="29">
        <f t="shared" si="20"/>
        <v>305.35553000000004</v>
      </c>
      <c r="H46" s="29">
        <f t="shared" si="20"/>
        <v>122.27358</v>
      </c>
      <c r="I46" s="29">
        <f t="shared" ref="I46:N46" si="21">I32/1000</f>
        <v>137.73099999999999</v>
      </c>
      <c r="J46" s="29">
        <f t="shared" si="21"/>
        <v>336.12</v>
      </c>
      <c r="K46" s="29">
        <f t="shared" si="21"/>
        <v>143.881</v>
      </c>
      <c r="L46" s="29">
        <f t="shared" si="21"/>
        <v>121.842</v>
      </c>
      <c r="M46" s="29">
        <f t="shared" si="21"/>
        <v>353.32728000000003</v>
      </c>
      <c r="N46" s="29">
        <f t="shared" si="21"/>
        <v>111.977</v>
      </c>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N19"/>
  <sheetViews>
    <sheetView zoomScale="70" zoomScaleNormal="70" workbookViewId="0">
      <selection activeCell="F12" sqref="F12"/>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7.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146</v>
      </c>
      <c r="C3" s="45">
        <v>6.2478118499999997</v>
      </c>
      <c r="D3" s="45">
        <v>6.9271013999999997</v>
      </c>
      <c r="E3" s="45">
        <v>7.2290487599999986</v>
      </c>
      <c r="F3" s="45">
        <v>6.4550056199999988</v>
      </c>
      <c r="G3" s="45"/>
      <c r="H3" s="45"/>
      <c r="I3" s="45"/>
      <c r="J3" s="45"/>
      <c r="K3" s="45"/>
      <c r="L3" s="45"/>
      <c r="M3" s="45"/>
      <c r="N3" s="45"/>
    </row>
    <row r="4" spans="2:14" x14ac:dyDescent="0.25">
      <c r="B4" s="1" t="s">
        <v>147</v>
      </c>
      <c r="C4" s="45">
        <v>6.9380100000000031E-3</v>
      </c>
      <c r="D4" s="45">
        <v>6.9932999999999966E-3</v>
      </c>
      <c r="E4" s="45">
        <v>4.7684999999999993E-3</v>
      </c>
      <c r="F4" s="45">
        <v>5.8610499999999961E-3</v>
      </c>
      <c r="G4" s="45"/>
      <c r="H4" s="45"/>
      <c r="I4" s="45"/>
      <c r="J4" s="45"/>
      <c r="K4" s="45"/>
      <c r="L4" s="45"/>
      <c r="M4" s="45"/>
      <c r="N4" s="45"/>
    </row>
    <row r="5" spans="2:14" x14ac:dyDescent="0.25">
      <c r="B5" s="1" t="s">
        <v>148</v>
      </c>
      <c r="C5" s="45">
        <v>0</v>
      </c>
      <c r="D5" s="45">
        <v>0</v>
      </c>
      <c r="E5" s="45">
        <v>0</v>
      </c>
      <c r="F5" s="45">
        <v>0</v>
      </c>
      <c r="G5" s="45"/>
      <c r="H5" s="45"/>
      <c r="I5" s="45"/>
      <c r="J5" s="45"/>
      <c r="K5" s="45"/>
      <c r="L5" s="45"/>
      <c r="M5" s="45"/>
      <c r="N5" s="45"/>
    </row>
    <row r="6" spans="2:14" x14ac:dyDescent="0.25">
      <c r="B6" s="1" t="s">
        <v>149</v>
      </c>
      <c r="C6" s="45">
        <v>5.9100780390203389E-2</v>
      </c>
      <c r="D6" s="45">
        <v>9.1576532025000004E-2</v>
      </c>
      <c r="E6" s="45">
        <v>9.1576500000000019E-2</v>
      </c>
      <c r="F6" s="45">
        <v>9.157647999999996E-2</v>
      </c>
      <c r="G6" s="45"/>
      <c r="H6" s="45"/>
      <c r="I6" s="45"/>
      <c r="J6" s="45"/>
      <c r="K6" s="45"/>
      <c r="L6" s="45"/>
      <c r="M6" s="45"/>
      <c r="N6" s="45"/>
    </row>
    <row r="7" spans="2:14" x14ac:dyDescent="0.25">
      <c r="B7" s="1" t="s">
        <v>60</v>
      </c>
      <c r="C7" s="45">
        <v>0</v>
      </c>
      <c r="D7" s="45">
        <v>0</v>
      </c>
      <c r="E7" s="45">
        <v>0</v>
      </c>
      <c r="F7" s="45">
        <v>0</v>
      </c>
      <c r="G7" s="45"/>
      <c r="H7" s="45"/>
      <c r="I7" s="45"/>
      <c r="J7" s="45"/>
      <c r="K7" s="45"/>
      <c r="L7" s="45"/>
      <c r="M7" s="45"/>
      <c r="N7" s="45"/>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74">
        <v>2115437.9500000002</v>
      </c>
      <c r="D11" s="74">
        <v>2364237.4300000002</v>
      </c>
      <c r="E11" s="74">
        <v>2412139.4500000002</v>
      </c>
      <c r="F11" s="74">
        <v>2087880.81</v>
      </c>
      <c r="G11" s="20"/>
      <c r="H11" s="20"/>
      <c r="I11" s="20"/>
      <c r="J11" s="20"/>
      <c r="K11" s="20"/>
      <c r="L11" s="20"/>
      <c r="M11" s="20"/>
      <c r="N11" s="20"/>
    </row>
    <row r="12" spans="2:14" x14ac:dyDescent="0.25">
      <c r="B12" s="19" t="s">
        <v>133</v>
      </c>
      <c r="C12" s="73">
        <v>2489</v>
      </c>
      <c r="D12" s="73">
        <v>2280</v>
      </c>
      <c r="E12" s="73">
        <v>1517</v>
      </c>
      <c r="F12" s="73">
        <v>1809</v>
      </c>
      <c r="G12" s="20"/>
      <c r="H12" s="20"/>
      <c r="I12" s="20"/>
      <c r="J12" s="20"/>
      <c r="K12" s="20"/>
      <c r="L12" s="20"/>
      <c r="M12" s="20"/>
      <c r="N12" s="20"/>
    </row>
    <row r="13" spans="2:14" x14ac:dyDescent="0.25">
      <c r="B13" s="19" t="s">
        <v>59</v>
      </c>
      <c r="C13" s="20">
        <v>0</v>
      </c>
      <c r="D13" s="20">
        <v>0</v>
      </c>
      <c r="E13" s="20">
        <v>0</v>
      </c>
      <c r="F13" s="20">
        <v>0</v>
      </c>
      <c r="G13" s="20"/>
      <c r="H13" s="20"/>
      <c r="I13" s="20"/>
      <c r="J13" s="20"/>
      <c r="K13" s="20"/>
      <c r="L13" s="20"/>
      <c r="M13" s="20"/>
      <c r="N13" s="20"/>
    </row>
    <row r="14" spans="2:14" x14ac:dyDescent="0.25">
      <c r="B14" s="19" t="s">
        <v>134</v>
      </c>
      <c r="C14" s="20">
        <v>0</v>
      </c>
      <c r="D14" s="20">
        <v>0</v>
      </c>
      <c r="E14" s="20">
        <v>0</v>
      </c>
      <c r="F14" s="20">
        <v>0</v>
      </c>
      <c r="G14" s="20"/>
      <c r="H14" s="20"/>
      <c r="I14" s="20"/>
      <c r="J14" s="20"/>
      <c r="K14" s="20"/>
      <c r="L14" s="20"/>
      <c r="M14" s="20"/>
      <c r="N14" s="20"/>
    </row>
    <row r="15" spans="2:14" x14ac:dyDescent="0.25">
      <c r="C15" s="30">
        <f>SUM(C11:C14)</f>
        <v>2117926.9500000002</v>
      </c>
      <c r="D15" s="30">
        <f t="shared" ref="D15:N15" si="0">SUM(D11:D14)</f>
        <v>2366517.4300000002</v>
      </c>
      <c r="E15" s="30">
        <f t="shared" si="0"/>
        <v>2413656.4500000002</v>
      </c>
      <c r="F15" s="30">
        <f t="shared" si="0"/>
        <v>2089689.81</v>
      </c>
      <c r="G15" s="30">
        <f t="shared" si="0"/>
        <v>0</v>
      </c>
      <c r="H15" s="30">
        <f t="shared" si="0"/>
        <v>0</v>
      </c>
      <c r="I15" s="30">
        <f t="shared" si="0"/>
        <v>0</v>
      </c>
      <c r="J15" s="30">
        <f t="shared" si="0"/>
        <v>0</v>
      </c>
      <c r="K15" s="30">
        <f t="shared" si="0"/>
        <v>0</v>
      </c>
      <c r="L15" s="30">
        <f t="shared" si="0"/>
        <v>0</v>
      </c>
      <c r="M15" s="30">
        <f t="shared" si="0"/>
        <v>0</v>
      </c>
      <c r="N15" s="30">
        <f t="shared" si="0"/>
        <v>0</v>
      </c>
    </row>
    <row r="18" spans="2:2" x14ac:dyDescent="0.25">
      <c r="B18" t="s">
        <v>178</v>
      </c>
    </row>
    <row r="19" spans="2:2" x14ac:dyDescent="0.25">
      <c r="B19" s="55">
        <f>HLOOKUP(Main!E1,Reactive!C10:N15,6,FALSE)</f>
        <v>2089689.81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N9"/>
  <sheetViews>
    <sheetView zoomScale="70" zoomScaleNormal="70" workbookViewId="0">
      <selection activeCell="E6" sqref="E6"/>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95</v>
      </c>
      <c r="C3" s="45">
        <v>3.1310032699999994</v>
      </c>
      <c r="D3" s="45">
        <v>3.31364306</v>
      </c>
      <c r="E3" s="45">
        <v>3.0747221499999999</v>
      </c>
      <c r="F3" s="45">
        <v>2.5550446800000004</v>
      </c>
      <c r="G3" s="45"/>
      <c r="H3" s="45"/>
      <c r="I3" s="45"/>
      <c r="J3" s="45"/>
      <c r="K3" s="45"/>
      <c r="L3" s="45"/>
      <c r="M3" s="45"/>
      <c r="N3" s="45"/>
    </row>
    <row r="4" spans="2:14" x14ac:dyDescent="0.25">
      <c r="B4" s="18" t="s">
        <v>96</v>
      </c>
      <c r="C4" s="45">
        <v>4.464690000000001E-2</v>
      </c>
      <c r="D4" s="45">
        <v>3.2394960000000007E-2</v>
      </c>
      <c r="E4" s="45">
        <v>4.9838400000000019E-2</v>
      </c>
      <c r="F4" s="45">
        <v>4.8384780000000016E-2</v>
      </c>
      <c r="G4" s="45"/>
      <c r="H4" s="45"/>
      <c r="I4" s="45"/>
      <c r="J4" s="45"/>
      <c r="K4" s="45"/>
      <c r="L4" s="45"/>
      <c r="M4" s="45"/>
      <c r="N4" s="45"/>
    </row>
    <row r="5" spans="2:14" x14ac:dyDescent="0.25">
      <c r="B5" s="17" t="s">
        <v>94</v>
      </c>
      <c r="C5" s="45">
        <v>0</v>
      </c>
      <c r="D5" s="45">
        <v>0</v>
      </c>
      <c r="E5" s="45">
        <v>0</v>
      </c>
      <c r="F5" s="45">
        <v>0</v>
      </c>
      <c r="G5" s="45"/>
      <c r="H5" s="45"/>
      <c r="I5" s="45"/>
      <c r="J5" s="45"/>
      <c r="K5" s="45"/>
      <c r="L5" s="45"/>
      <c r="M5" s="45"/>
      <c r="N5" s="45"/>
    </row>
    <row r="6" spans="2:14" x14ac:dyDescent="0.25">
      <c r="B6" s="18" t="s">
        <v>97</v>
      </c>
      <c r="C6" s="45">
        <v>0</v>
      </c>
      <c r="D6" s="45">
        <v>0</v>
      </c>
      <c r="E6" s="45">
        <v>0</v>
      </c>
      <c r="F6" s="45">
        <v>0</v>
      </c>
      <c r="G6" s="45"/>
      <c r="H6" s="45"/>
      <c r="I6" s="45"/>
      <c r="J6" s="45"/>
      <c r="K6" s="45"/>
      <c r="L6" s="45"/>
      <c r="M6" s="45"/>
      <c r="N6" s="45"/>
    </row>
    <row r="7" spans="2:14" x14ac:dyDescent="0.25">
      <c r="B7" s="17" t="s">
        <v>62</v>
      </c>
      <c r="C7" s="45">
        <v>0</v>
      </c>
      <c r="D7" s="45">
        <v>0.22357520396526012</v>
      </c>
      <c r="E7" s="45">
        <v>0</v>
      </c>
      <c r="F7" s="45">
        <v>0</v>
      </c>
      <c r="G7" s="45"/>
      <c r="H7" s="45"/>
      <c r="I7" s="45"/>
      <c r="J7" s="45"/>
      <c r="K7" s="45"/>
      <c r="L7" s="45"/>
      <c r="M7" s="45"/>
      <c r="N7" s="45"/>
    </row>
    <row r="8" spans="2:14" x14ac:dyDescent="0.25">
      <c r="B8" s="17" t="s">
        <v>63</v>
      </c>
      <c r="C8" s="45">
        <v>0.19039999999999993</v>
      </c>
      <c r="D8" s="45">
        <v>0.1008</v>
      </c>
      <c r="E8" s="45">
        <v>0.1008</v>
      </c>
      <c r="F8" s="45">
        <v>0.22399999999999989</v>
      </c>
      <c r="G8" s="45"/>
      <c r="H8" s="45"/>
      <c r="I8" s="45"/>
      <c r="J8" s="45"/>
      <c r="K8" s="45"/>
      <c r="L8" s="45"/>
      <c r="M8" s="45"/>
      <c r="N8" s="45"/>
    </row>
    <row r="9" spans="2:14" x14ac:dyDescent="0.25">
      <c r="B9" s="18" t="s">
        <v>98</v>
      </c>
      <c r="C9" s="45">
        <v>0</v>
      </c>
      <c r="D9" s="45">
        <v>0</v>
      </c>
      <c r="E9" s="45">
        <v>0</v>
      </c>
      <c r="F9" s="45">
        <v>0</v>
      </c>
      <c r="G9" s="45"/>
      <c r="H9" s="45"/>
      <c r="I9" s="45"/>
      <c r="J9" s="45"/>
      <c r="K9" s="45"/>
      <c r="L9" s="45"/>
      <c r="M9" s="45"/>
      <c r="N9" s="45"/>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2:O29"/>
  <sheetViews>
    <sheetView zoomScale="70" zoomScaleNormal="70" workbookViewId="0">
      <selection activeCell="B12" sqref="B12:N19"/>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100</v>
      </c>
      <c r="C3" s="45">
        <v>9.1999999999999998E-2</v>
      </c>
      <c r="D3" s="45">
        <v>5.1750160000000003E-2</v>
      </c>
      <c r="E3" s="45">
        <v>6.8999999999999999E-3</v>
      </c>
      <c r="F3" s="45">
        <v>6.6036659999999997E-2</v>
      </c>
      <c r="G3" s="45"/>
      <c r="H3" s="45"/>
      <c r="I3" s="45"/>
      <c r="J3" s="45"/>
      <c r="K3" s="45"/>
      <c r="L3" s="45"/>
      <c r="M3" s="45"/>
      <c r="N3" s="45"/>
      <c r="O3" s="5"/>
    </row>
    <row r="4" spans="1:15" x14ac:dyDescent="0.25">
      <c r="B4" s="18" t="s">
        <v>99</v>
      </c>
      <c r="C4" s="45">
        <v>0</v>
      </c>
      <c r="D4" s="45">
        <v>0</v>
      </c>
      <c r="E4" s="45">
        <v>0</v>
      </c>
      <c r="F4" s="45">
        <v>0</v>
      </c>
      <c r="G4" s="45"/>
      <c r="H4" s="45"/>
      <c r="I4" s="45"/>
      <c r="J4" s="45"/>
      <c r="K4" s="45"/>
      <c r="L4" s="45"/>
      <c r="M4" s="45"/>
      <c r="N4" s="45"/>
      <c r="O4" s="5"/>
    </row>
    <row r="5" spans="1:15" x14ac:dyDescent="0.25">
      <c r="B5" s="17" t="s">
        <v>102</v>
      </c>
      <c r="C5" s="45">
        <v>0</v>
      </c>
      <c r="D5" s="45">
        <v>0</v>
      </c>
      <c r="E5" s="45">
        <v>0</v>
      </c>
      <c r="F5" s="45">
        <v>0</v>
      </c>
      <c r="G5" s="45"/>
      <c r="H5" s="45"/>
      <c r="I5" s="45"/>
      <c r="J5" s="45"/>
      <c r="K5" s="45"/>
      <c r="L5" s="45"/>
      <c r="M5" s="45"/>
      <c r="N5" s="45"/>
      <c r="O5" s="5"/>
    </row>
    <row r="6" spans="1:15" x14ac:dyDescent="0.25">
      <c r="B6" s="18" t="s">
        <v>101</v>
      </c>
      <c r="C6" s="45">
        <v>0</v>
      </c>
      <c r="D6" s="45">
        <v>3.0049000000000017E-2</v>
      </c>
      <c r="E6" s="45">
        <v>3.8986970000000003E-2</v>
      </c>
      <c r="F6" s="45">
        <v>3.1000000000000021E-2</v>
      </c>
      <c r="G6" s="45"/>
      <c r="H6" s="45"/>
      <c r="I6" s="45"/>
      <c r="J6" s="45"/>
      <c r="K6" s="45"/>
      <c r="L6" s="45"/>
      <c r="M6" s="45"/>
      <c r="N6" s="45"/>
      <c r="O6" s="5"/>
    </row>
    <row r="7" spans="1:15" x14ac:dyDescent="0.25">
      <c r="B7" s="17" t="s">
        <v>105</v>
      </c>
      <c r="C7" s="45">
        <v>0.34117578999999998</v>
      </c>
      <c r="D7" s="45">
        <v>0.33919562000000009</v>
      </c>
      <c r="E7" s="45">
        <v>0.30768517000000006</v>
      </c>
      <c r="F7" s="45">
        <v>0.34419988999999979</v>
      </c>
      <c r="G7" s="45"/>
      <c r="H7" s="45"/>
      <c r="I7" s="45"/>
      <c r="J7" s="45"/>
      <c r="K7" s="45"/>
      <c r="L7" s="45"/>
      <c r="M7" s="45"/>
      <c r="N7" s="45"/>
      <c r="O7" s="5"/>
    </row>
    <row r="8" spans="1:15" ht="30" x14ac:dyDescent="0.25">
      <c r="B8" s="18" t="s">
        <v>103</v>
      </c>
      <c r="C8" s="45">
        <v>0</v>
      </c>
      <c r="D8" s="45">
        <v>0</v>
      </c>
      <c r="E8" s="45">
        <v>0</v>
      </c>
      <c r="F8" s="45">
        <v>0</v>
      </c>
      <c r="G8" s="45"/>
      <c r="H8" s="45"/>
      <c r="I8" s="45"/>
      <c r="J8" s="45"/>
      <c r="K8" s="45"/>
      <c r="L8" s="45"/>
      <c r="M8" s="45"/>
      <c r="N8" s="45"/>
      <c r="O8" s="5"/>
    </row>
    <row r="9" spans="1:15" x14ac:dyDescent="0.25">
      <c r="B9" s="18" t="s">
        <v>104</v>
      </c>
      <c r="C9" s="45">
        <v>0.28598498999999999</v>
      </c>
      <c r="D9" s="45">
        <v>0.4205025</v>
      </c>
      <c r="E9" s="45">
        <v>0.39767002000000007</v>
      </c>
      <c r="F9" s="45">
        <v>0.55676584000000007</v>
      </c>
      <c r="G9" s="45"/>
      <c r="H9" s="45"/>
      <c r="I9" s="45"/>
      <c r="J9" s="45"/>
      <c r="K9" s="45"/>
      <c r="L9" s="45"/>
      <c r="M9" s="45"/>
      <c r="N9" s="45"/>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137</v>
      </c>
      <c r="B13" s="24" t="s">
        <v>109</v>
      </c>
      <c r="C13" s="25">
        <v>20732.75</v>
      </c>
      <c r="D13" s="34">
        <v>27099.7</v>
      </c>
      <c r="E13" s="34">
        <v>26412.1</v>
      </c>
      <c r="F13" s="34">
        <v>38711.800000000003</v>
      </c>
      <c r="G13" s="34"/>
      <c r="H13" s="34"/>
      <c r="I13" s="34"/>
      <c r="J13" s="34"/>
      <c r="K13" s="34"/>
      <c r="L13" s="34"/>
      <c r="M13" s="34"/>
      <c r="N13" s="34"/>
    </row>
    <row r="14" spans="1:15" ht="15.75" x14ac:dyDescent="0.25">
      <c r="B14" s="24" t="s">
        <v>108</v>
      </c>
      <c r="C14" s="25">
        <v>0</v>
      </c>
      <c r="D14" s="25">
        <v>0</v>
      </c>
      <c r="E14" s="34">
        <v>0</v>
      </c>
      <c r="F14" s="34">
        <v>0</v>
      </c>
      <c r="G14" s="34"/>
      <c r="H14" s="34"/>
      <c r="I14" s="34"/>
      <c r="J14" s="34"/>
      <c r="K14" s="34"/>
      <c r="L14" s="34"/>
      <c r="M14" s="34"/>
      <c r="N14" s="34"/>
    </row>
    <row r="15" spans="1:15" ht="15.75" x14ac:dyDescent="0.25">
      <c r="A15" t="s">
        <v>106</v>
      </c>
      <c r="B15" s="26" t="s">
        <v>110</v>
      </c>
      <c r="C15" s="25">
        <v>20</v>
      </c>
      <c r="D15" s="35">
        <v>19</v>
      </c>
      <c r="E15" s="34">
        <v>18</v>
      </c>
      <c r="F15" s="34" t="s">
        <v>187</v>
      </c>
      <c r="G15" s="34"/>
      <c r="H15" s="34"/>
      <c r="I15" s="34"/>
      <c r="J15" s="34"/>
      <c r="K15" s="34"/>
      <c r="L15" s="34"/>
      <c r="M15" s="34"/>
      <c r="N15" s="34"/>
    </row>
    <row r="16" spans="1:15" ht="15.75" x14ac:dyDescent="0.25">
      <c r="B16" s="24" t="s">
        <v>111</v>
      </c>
      <c r="C16" s="25">
        <v>0</v>
      </c>
      <c r="D16" s="25">
        <v>0</v>
      </c>
      <c r="E16" s="34">
        <v>0</v>
      </c>
      <c r="F16" s="34">
        <v>0</v>
      </c>
      <c r="G16" s="34"/>
      <c r="H16" s="34"/>
      <c r="I16" s="34"/>
      <c r="J16" s="34"/>
      <c r="K16" s="34"/>
      <c r="L16" s="34"/>
      <c r="M16" s="34"/>
      <c r="N16" s="34"/>
    </row>
    <row r="17" spans="1:14" ht="15.75" x14ac:dyDescent="0.25">
      <c r="B17" s="26" t="s">
        <v>113</v>
      </c>
      <c r="C17" s="25">
        <v>0</v>
      </c>
      <c r="D17" s="25">
        <v>0</v>
      </c>
      <c r="E17" s="34">
        <v>0</v>
      </c>
      <c r="F17" s="34">
        <v>0</v>
      </c>
      <c r="G17" s="34"/>
      <c r="H17" s="34"/>
      <c r="I17" s="34"/>
      <c r="J17" s="34"/>
      <c r="K17" s="34"/>
      <c r="L17" s="34"/>
      <c r="M17" s="34"/>
      <c r="N17" s="34"/>
    </row>
    <row r="18" spans="1:14" ht="15.75" x14ac:dyDescent="0.25">
      <c r="B18" s="24" t="s">
        <v>112</v>
      </c>
      <c r="C18" s="25">
        <v>0</v>
      </c>
      <c r="D18" s="25">
        <v>0</v>
      </c>
      <c r="E18" s="34">
        <v>0</v>
      </c>
      <c r="F18" s="34">
        <v>0</v>
      </c>
      <c r="G18" s="34"/>
      <c r="H18" s="34"/>
      <c r="I18" s="34"/>
      <c r="J18" s="34"/>
      <c r="K18" s="34"/>
      <c r="L18" s="34"/>
      <c r="M18" s="34"/>
      <c r="N18" s="34"/>
    </row>
    <row r="19" spans="1:14" ht="15.75" x14ac:dyDescent="0.25">
      <c r="A19" t="s">
        <v>107</v>
      </c>
      <c r="B19" s="26" t="s">
        <v>114</v>
      </c>
      <c r="C19" s="27">
        <v>3</v>
      </c>
      <c r="D19" s="34">
        <v>5</v>
      </c>
      <c r="E19" s="34">
        <v>1</v>
      </c>
      <c r="F19" s="34" t="s">
        <v>187</v>
      </c>
      <c r="G19" s="34"/>
      <c r="H19" s="34"/>
      <c r="I19" s="34"/>
      <c r="J19" s="34"/>
      <c r="K19" s="34"/>
      <c r="L19" s="34"/>
      <c r="M19" s="34"/>
      <c r="N19" s="34"/>
    </row>
    <row r="29" spans="1:14" ht="15.75" x14ac:dyDescent="0.25">
      <c r="B29" s="22"/>
    </row>
  </sheetData>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66CC"/>
  </sheetPr>
  <dimension ref="B2:N8"/>
  <sheetViews>
    <sheetView workbookViewId="0">
      <selection activeCell="K10" sqref="K10"/>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33</v>
      </c>
      <c r="C3" s="45">
        <v>1.2149987460538103</v>
      </c>
      <c r="D3" s="45">
        <v>1.1487399109324099</v>
      </c>
      <c r="E3" s="45">
        <v>1.5910037236083103</v>
      </c>
      <c r="F3" s="45">
        <v>1.5077516180486001</v>
      </c>
      <c r="G3" s="45"/>
      <c r="H3" s="45"/>
      <c r="I3" s="45"/>
      <c r="J3" s="45"/>
      <c r="K3" s="45"/>
      <c r="L3" s="45"/>
      <c r="M3" s="45"/>
      <c r="N3" s="45"/>
    </row>
    <row r="4" spans="2:14" x14ac:dyDescent="0.25">
      <c r="B4" s="6" t="s">
        <v>64</v>
      </c>
      <c r="C4" s="45">
        <v>0</v>
      </c>
      <c r="D4" s="45">
        <v>-0.10187188744483</v>
      </c>
      <c r="E4" s="45">
        <v>-0.24659000149506999</v>
      </c>
      <c r="F4" s="45">
        <v>-7.7968851847920004E-2</v>
      </c>
      <c r="G4" s="45"/>
      <c r="H4" s="45"/>
      <c r="I4" s="45"/>
      <c r="J4" s="45"/>
      <c r="K4" s="45"/>
      <c r="L4" s="45"/>
      <c r="M4" s="45"/>
      <c r="N4" s="45"/>
    </row>
    <row r="5" spans="2:14" x14ac:dyDescent="0.25">
      <c r="B5" s="6" t="s">
        <v>135</v>
      </c>
      <c r="C5" s="45">
        <v>0.14738711999999998</v>
      </c>
      <c r="D5" s="45">
        <v>0</v>
      </c>
      <c r="E5" s="45">
        <v>0</v>
      </c>
      <c r="F5" s="45">
        <v>0</v>
      </c>
      <c r="G5" s="45"/>
      <c r="H5" s="45"/>
      <c r="I5" s="45"/>
      <c r="J5" s="45"/>
      <c r="K5" s="45"/>
      <c r="L5" s="45"/>
      <c r="M5" s="45"/>
      <c r="N5" s="45"/>
    </row>
    <row r="6" spans="2:14" x14ac:dyDescent="0.25">
      <c r="B6" s="61" t="s">
        <v>150</v>
      </c>
      <c r="C6" s="45">
        <v>-0.60872333499986264</v>
      </c>
      <c r="D6" s="45">
        <v>-0.71759372700004176</v>
      </c>
      <c r="E6" s="45">
        <v>-0.89792285999987143</v>
      </c>
      <c r="F6" s="45">
        <v>-1.0048853130000577</v>
      </c>
      <c r="G6" s="45"/>
      <c r="H6" s="45"/>
      <c r="I6" s="45"/>
      <c r="J6" s="45"/>
      <c r="K6" s="45"/>
      <c r="L6" s="45"/>
      <c r="M6" s="45"/>
      <c r="N6" s="45"/>
    </row>
    <row r="7" spans="2:14" x14ac:dyDescent="0.25">
      <c r="B7" s="48" t="s">
        <v>156</v>
      </c>
      <c r="C7" s="41">
        <v>-0.32846197999999921</v>
      </c>
      <c r="D7" s="41">
        <v>-0.43194142000000013</v>
      </c>
      <c r="E7" s="41">
        <v>-0.48303737999999941</v>
      </c>
      <c r="F7" s="41">
        <v>-0.57983117999999878</v>
      </c>
      <c r="G7" s="41"/>
      <c r="H7" s="41"/>
      <c r="I7" s="41"/>
      <c r="J7" s="41"/>
      <c r="K7" s="41"/>
      <c r="L7" s="41"/>
      <c r="M7" s="41"/>
      <c r="N7" s="41"/>
    </row>
    <row r="8" spans="2:14" x14ac:dyDescent="0.25">
      <c r="B8" s="48" t="s">
        <v>160</v>
      </c>
      <c r="C8" s="41">
        <v>-0.28026135499986349</v>
      </c>
      <c r="D8" s="41">
        <v>-0.28565230700004163</v>
      </c>
      <c r="E8" s="41">
        <v>-0.41488547999987202</v>
      </c>
      <c r="F8" s="41">
        <v>-0.42505413300005901</v>
      </c>
      <c r="G8" s="41"/>
      <c r="H8" s="41"/>
      <c r="I8" s="41"/>
      <c r="J8" s="41"/>
      <c r="K8" s="41"/>
      <c r="L8" s="41"/>
      <c r="M8" s="41"/>
      <c r="N8" s="4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
  <sheetViews>
    <sheetView tabSelected="1" zoomScale="85" zoomScaleNormal="85" workbookViewId="0">
      <selection activeCell="D34" sqref="D34"/>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151</v>
      </c>
      <c r="C1" s="46">
        <f>Main!E1</f>
        <v>43282</v>
      </c>
      <c r="D1" s="40">
        <f>EOMONTH(C1,0)</f>
        <v>43312</v>
      </c>
      <c r="E1" s="39">
        <f>C1</f>
        <v>43282</v>
      </c>
      <c r="F1" t="s">
        <v>154</v>
      </c>
      <c r="G1" t="str">
        <f>F1&amp;TEXT(E1,"mmm yyyy")</f>
        <v>Balancing Cost Jul 2018</v>
      </c>
    </row>
    <row r="3" spans="2:14" x14ac:dyDescent="0.25">
      <c r="B3" t="s">
        <v>1</v>
      </c>
      <c r="C3" s="41" t="s">
        <v>0</v>
      </c>
      <c r="D3" s="41" t="s">
        <v>2</v>
      </c>
      <c r="E3" s="41" t="s">
        <v>3</v>
      </c>
      <c r="F3" s="41" t="s">
        <v>4</v>
      </c>
      <c r="G3" s="41" t="s">
        <v>42</v>
      </c>
      <c r="H3" s="41"/>
      <c r="I3" s="41"/>
      <c r="J3" s="41"/>
      <c r="K3" s="41"/>
      <c r="L3" s="41"/>
      <c r="M3" s="41"/>
      <c r="N3" s="41"/>
    </row>
    <row r="4" spans="2:14" x14ac:dyDescent="0.25">
      <c r="B4" s="53">
        <v>30.785484543786641</v>
      </c>
      <c r="C4" s="53">
        <v>16.657114570999088</v>
      </c>
      <c r="D4" s="53">
        <v>33.529738917594422</v>
      </c>
      <c r="E4" s="53">
        <v>-0.13278563178567002</v>
      </c>
      <c r="F4" s="54">
        <v>-1.0048853130000577</v>
      </c>
      <c r="G4" s="52">
        <v>79.834667087594426</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E33" sqref="E33"/>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65</v>
      </c>
      <c r="C3" s="45">
        <v>-5.6785957729999996</v>
      </c>
      <c r="D3" s="45">
        <v>-6.7606795479999997</v>
      </c>
      <c r="E3" s="45">
        <v>-2.8102212680000007</v>
      </c>
      <c r="F3" s="45">
        <v>-1.1107513009999979</v>
      </c>
      <c r="G3" s="45"/>
      <c r="H3" s="45"/>
      <c r="I3" s="45"/>
      <c r="J3" s="45"/>
      <c r="K3" s="45"/>
      <c r="L3" s="45"/>
      <c r="M3" s="45"/>
      <c r="N3" s="45"/>
    </row>
    <row r="4" spans="2:14" x14ac:dyDescent="0.25">
      <c r="B4" s="1" t="s">
        <v>153</v>
      </c>
      <c r="C4" s="45">
        <v>4.1224460016493305</v>
      </c>
      <c r="D4" s="45">
        <v>4.4912451742291006</v>
      </c>
      <c r="E4" s="45">
        <v>3.5612389524620789</v>
      </c>
      <c r="F4" s="45">
        <v>4.6834128007342004</v>
      </c>
      <c r="G4" s="45"/>
      <c r="H4" s="45"/>
      <c r="I4" s="45"/>
      <c r="J4" s="45"/>
      <c r="K4" s="45"/>
      <c r="L4" s="45"/>
      <c r="M4" s="45"/>
      <c r="N4" s="45"/>
    </row>
    <row r="5" spans="2:14" x14ac:dyDescent="0.25">
      <c r="B5" s="1" t="s">
        <v>66</v>
      </c>
      <c r="C5" s="45">
        <v>5.8473031278067893</v>
      </c>
      <c r="D5" s="45">
        <v>6.8038906774240004</v>
      </c>
      <c r="E5" s="45">
        <v>6.5033529852830512</v>
      </c>
      <c r="F5" s="45">
        <v>7.222908393974671</v>
      </c>
      <c r="G5" s="45"/>
      <c r="H5" s="45"/>
      <c r="I5" s="45"/>
      <c r="J5" s="45"/>
      <c r="K5" s="45"/>
      <c r="L5" s="45"/>
      <c r="M5" s="45"/>
      <c r="N5" s="45"/>
    </row>
    <row r="6" spans="2:14" x14ac:dyDescent="0.25">
      <c r="B6" s="1" t="s">
        <v>67</v>
      </c>
      <c r="C6" s="45">
        <v>25.458318174613069</v>
      </c>
      <c r="D6" s="45">
        <v>24.566140903605945</v>
      </c>
      <c r="E6" s="45">
        <v>50.869517960804707</v>
      </c>
      <c r="F6" s="45">
        <v>39.149824624984106</v>
      </c>
      <c r="G6" s="45"/>
      <c r="H6" s="45"/>
      <c r="I6" s="45"/>
      <c r="J6" s="45"/>
      <c r="K6" s="45"/>
      <c r="L6" s="45"/>
      <c r="M6" s="45"/>
      <c r="N6" s="45"/>
    </row>
    <row r="7" spans="2:14" x14ac:dyDescent="0.25">
      <c r="B7" s="1" t="s">
        <v>157</v>
      </c>
      <c r="C7" s="45">
        <v>0.42003371109222998</v>
      </c>
      <c r="D7" s="45">
        <v>2.05747189453484</v>
      </c>
      <c r="E7" s="45">
        <v>0.40776612894857994</v>
      </c>
      <c r="F7" s="45">
        <v>0.57203066631893995</v>
      </c>
      <c r="G7" s="45"/>
      <c r="H7" s="45"/>
      <c r="I7" s="45"/>
      <c r="J7" s="45"/>
      <c r="K7" s="45"/>
      <c r="L7" s="45"/>
      <c r="M7" s="45"/>
      <c r="N7" s="45"/>
    </row>
    <row r="8" spans="2:14" x14ac:dyDescent="0.25">
      <c r="B8" s="1" t="s">
        <v>152</v>
      </c>
      <c r="C8" s="45">
        <v>6.6282317046892221</v>
      </c>
      <c r="D8" s="45">
        <v>6.5779061599957194</v>
      </c>
      <c r="E8" s="45">
        <v>6.2490571707779701</v>
      </c>
      <c r="F8" s="45">
        <v>7.8891538550559535</v>
      </c>
      <c r="G8" s="45"/>
      <c r="H8" s="45"/>
      <c r="I8" s="45"/>
      <c r="J8" s="45"/>
      <c r="K8" s="45"/>
      <c r="L8" s="45"/>
      <c r="M8" s="45"/>
      <c r="N8" s="45"/>
    </row>
    <row r="9" spans="2:14" x14ac:dyDescent="0.25">
      <c r="B9" s="1" t="s">
        <v>68</v>
      </c>
      <c r="C9" s="45">
        <v>10.997027776734971</v>
      </c>
      <c r="D9" s="45">
        <v>12.178186140850661</v>
      </c>
      <c r="E9" s="45">
        <v>11.429604540440156</v>
      </c>
      <c r="F9" s="45">
        <v>9.9887902804595985</v>
      </c>
      <c r="G9" s="45"/>
      <c r="H9" s="45"/>
      <c r="I9" s="45"/>
      <c r="J9" s="45"/>
      <c r="K9" s="45"/>
      <c r="L9" s="45"/>
      <c r="M9" s="45"/>
      <c r="N9" s="45"/>
    </row>
    <row r="10" spans="2:14" x14ac:dyDescent="0.25">
      <c r="B10" s="36" t="s">
        <v>155</v>
      </c>
      <c r="C10" s="45">
        <v>0.71916078000000017</v>
      </c>
      <c r="D10" s="45">
        <v>0.8414972799999999</v>
      </c>
      <c r="E10" s="45">
        <v>0.75124215999999999</v>
      </c>
      <c r="F10" s="45">
        <v>0.99800239000000002</v>
      </c>
      <c r="G10" s="45"/>
      <c r="H10" s="45"/>
      <c r="I10" s="45"/>
      <c r="J10" s="45"/>
      <c r="K10" s="45"/>
      <c r="L10" s="45"/>
      <c r="M10" s="45"/>
      <c r="N10" s="45"/>
    </row>
    <row r="11" spans="2:14" x14ac:dyDescent="0.25">
      <c r="B11" s="51" t="s">
        <v>69</v>
      </c>
      <c r="C11" s="45">
        <v>6.3138506403902044</v>
      </c>
      <c r="D11" s="45">
        <v>7.0256712320249992</v>
      </c>
      <c r="E11" s="45">
        <v>7.3253937599999981</v>
      </c>
      <c r="F11" s="45">
        <v>6.5524431499999993</v>
      </c>
      <c r="G11" s="45"/>
      <c r="H11" s="45"/>
      <c r="I11" s="45"/>
      <c r="J11" s="45"/>
      <c r="K11" s="45"/>
      <c r="L11" s="45"/>
      <c r="M11" s="45"/>
      <c r="N11" s="45"/>
    </row>
    <row r="12" spans="2:14" x14ac:dyDescent="0.25">
      <c r="B12" s="1" t="s">
        <v>71</v>
      </c>
      <c r="C12" s="45">
        <v>3.3660501699999998</v>
      </c>
      <c r="D12" s="45">
        <v>3.6704132239652592</v>
      </c>
      <c r="E12" s="45">
        <v>3.2253605499999995</v>
      </c>
      <c r="F12" s="45">
        <v>2.8274294599999994</v>
      </c>
      <c r="G12" s="45"/>
      <c r="H12" s="45"/>
      <c r="I12" s="45"/>
      <c r="J12" s="45"/>
      <c r="K12" s="45"/>
      <c r="L12" s="45"/>
      <c r="M12" s="45"/>
      <c r="N12" s="45"/>
    </row>
    <row r="13" spans="2:14" x14ac:dyDescent="0.25">
      <c r="B13" s="1" t="s">
        <v>70</v>
      </c>
      <c r="C13" s="45">
        <v>1.5507602379663914</v>
      </c>
      <c r="D13" s="45">
        <v>1.0431287621915475</v>
      </c>
      <c r="E13" s="45">
        <v>1.1657715580340631</v>
      </c>
      <c r="F13" s="45">
        <v>1.1955450970670567</v>
      </c>
      <c r="G13" s="45"/>
      <c r="H13" s="45"/>
      <c r="I13" s="45"/>
      <c r="J13" s="45"/>
      <c r="K13" s="45"/>
      <c r="L13" s="45"/>
      <c r="M13" s="45"/>
      <c r="N13" s="45"/>
    </row>
    <row r="14" spans="2:14" x14ac:dyDescent="0.25">
      <c r="B14" s="51" t="s">
        <v>42</v>
      </c>
      <c r="C14" s="45">
        <f>SUM(C3:C13)</f>
        <v>59.74458655194222</v>
      </c>
      <c r="D14" s="45">
        <f t="shared" ref="D14:E14" si="0">SUM(D3:D13)</f>
        <v>62.494871900822076</v>
      </c>
      <c r="E14" s="45">
        <f t="shared" si="0"/>
        <v>88.678084498750607</v>
      </c>
      <c r="F14" s="45">
        <f t="shared" ref="F14" si="1">SUM(F3:F13)</f>
        <v>79.968789417594522</v>
      </c>
      <c r="G14" s="45">
        <f t="shared" ref="G14" si="2">SUM(G3:G13)</f>
        <v>0</v>
      </c>
      <c r="H14" s="45">
        <f t="shared" ref="H14" si="3">SUM(H3:H13)</f>
        <v>0</v>
      </c>
      <c r="I14" s="45">
        <f t="shared" ref="I14" si="4">SUM(I3:I13)</f>
        <v>0</v>
      </c>
      <c r="J14" s="45">
        <f t="shared" ref="J14" si="5">SUM(J3:J13)</f>
        <v>0</v>
      </c>
      <c r="K14" s="45">
        <f t="shared" ref="K14" si="6">SUM(K3:K13)</f>
        <v>0</v>
      </c>
      <c r="L14" s="45">
        <f t="shared" ref="L14" si="7">SUM(L3:L13)</f>
        <v>0</v>
      </c>
      <c r="M14" s="45">
        <f t="shared" ref="M14" si="8">SUM(M3:M13)</f>
        <v>0</v>
      </c>
      <c r="N14" s="45">
        <f t="shared" ref="N14" si="9">SUM(N3:N13)</f>
        <v>0</v>
      </c>
    </row>
    <row r="15" spans="2:14" x14ac:dyDescent="0.25">
      <c r="B15" s="14"/>
    </row>
    <row r="17" spans="2:14" x14ac:dyDescent="0.25">
      <c r="B17" s="2" t="s">
        <v>138</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65</v>
      </c>
      <c r="C18" s="20">
        <v>-234870.38700000002</v>
      </c>
      <c r="D18" s="20">
        <v>-215243.538</v>
      </c>
      <c r="E18" s="20">
        <v>-117411.79599999999</v>
      </c>
      <c r="F18" s="20">
        <v>-96007.772999999986</v>
      </c>
      <c r="G18" s="1"/>
      <c r="H18" s="1"/>
      <c r="I18" s="1"/>
      <c r="J18" s="1"/>
      <c r="K18" s="1"/>
      <c r="L18" s="1"/>
      <c r="M18" s="1"/>
      <c r="N18" s="1"/>
    </row>
    <row r="19" spans="2:14" x14ac:dyDescent="0.25">
      <c r="B19" s="1" t="s">
        <v>153</v>
      </c>
      <c r="C19" s="20">
        <v>299213.77400000003</v>
      </c>
      <c r="D19" s="20">
        <v>319094.06400000001</v>
      </c>
      <c r="E19" s="20">
        <v>424522.16899999988</v>
      </c>
      <c r="F19" s="20">
        <v>470879.76899999997</v>
      </c>
      <c r="G19" s="1"/>
      <c r="H19" s="1"/>
      <c r="I19" s="1"/>
      <c r="J19" s="1"/>
      <c r="K19" s="1"/>
      <c r="L19" s="1"/>
      <c r="M19" s="1"/>
      <c r="N19" s="1"/>
    </row>
    <row r="20" spans="2:14" x14ac:dyDescent="0.25">
      <c r="B20" s="1" t="s">
        <v>176</v>
      </c>
      <c r="C20" s="20">
        <v>1523.3530000000001</v>
      </c>
      <c r="D20" s="20">
        <v>802.3599999999999</v>
      </c>
      <c r="E20" s="20">
        <v>856.43999999999994</v>
      </c>
      <c r="F20" s="20">
        <v>1569.425</v>
      </c>
      <c r="G20" s="1"/>
      <c r="H20" s="1"/>
      <c r="I20" s="1"/>
      <c r="J20" s="1"/>
      <c r="K20" s="1"/>
      <c r="L20" s="1"/>
      <c r="M20" s="1"/>
      <c r="N20" s="1"/>
    </row>
    <row r="21" spans="2:14" x14ac:dyDescent="0.25">
      <c r="B21" s="1" t="s">
        <v>67</v>
      </c>
      <c r="C21" s="20">
        <v>409083.34</v>
      </c>
      <c r="D21" s="20">
        <v>529712.31300000008</v>
      </c>
      <c r="E21" s="20">
        <v>876596.17799999996</v>
      </c>
      <c r="F21" s="20">
        <v>685088.44899999979</v>
      </c>
      <c r="G21" s="1"/>
      <c r="H21" s="1"/>
      <c r="I21" s="1"/>
      <c r="J21" s="1"/>
      <c r="K21" s="1"/>
      <c r="L21" s="1"/>
      <c r="M21" s="1"/>
      <c r="N21" s="1"/>
    </row>
    <row r="22" spans="2:14" x14ac:dyDescent="0.25">
      <c r="B22" s="1" t="s">
        <v>136</v>
      </c>
      <c r="C22" s="20">
        <v>303671.005</v>
      </c>
      <c r="D22" s="20">
        <v>412358.67200000002</v>
      </c>
      <c r="E22" s="20">
        <v>767406.46799999976</v>
      </c>
      <c r="F22" s="20">
        <v>688265.91200000001</v>
      </c>
      <c r="G22" s="1"/>
      <c r="H22" s="1"/>
      <c r="I22" s="1"/>
      <c r="J22" s="1"/>
      <c r="K22" s="1"/>
      <c r="L22" s="1"/>
      <c r="M22" s="1"/>
      <c r="N22" s="1"/>
    </row>
    <row r="23" spans="2:14" x14ac:dyDescent="0.25">
      <c r="B23" s="1" t="s">
        <v>157</v>
      </c>
      <c r="C23" s="20">
        <v>-19346.036</v>
      </c>
      <c r="D23" s="20">
        <v>-64281.020000000004</v>
      </c>
      <c r="E23" s="20">
        <v>-14166.788999999999</v>
      </c>
      <c r="F23" s="20">
        <v>-27898.498999999996</v>
      </c>
      <c r="G23" s="1"/>
      <c r="H23" s="1"/>
      <c r="I23" s="1"/>
      <c r="J23" s="1"/>
      <c r="K23" s="1"/>
      <c r="L23" s="1"/>
      <c r="M23" s="1"/>
      <c r="N23" s="1"/>
    </row>
    <row r="24" spans="2:14" x14ac:dyDescent="0.25">
      <c r="B24" s="1" t="s">
        <v>177</v>
      </c>
      <c r="C24" s="20">
        <v>25343.830999999998</v>
      </c>
      <c r="D24" s="20">
        <v>23446.991000000009</v>
      </c>
      <c r="E24" s="20">
        <v>27381.694000000003</v>
      </c>
      <c r="F24" s="20">
        <v>26432.097999999998</v>
      </c>
      <c r="G24" s="1"/>
      <c r="H24" s="1"/>
      <c r="I24" s="1"/>
      <c r="J24" s="1"/>
      <c r="K24" s="1"/>
      <c r="L24" s="1"/>
      <c r="M24" s="1"/>
      <c r="N24" s="1"/>
    </row>
    <row r="25" spans="2:14" x14ac:dyDescent="0.25">
      <c r="B25" s="1" t="s">
        <v>139</v>
      </c>
      <c r="C25" s="20">
        <v>118700.29000000002</v>
      </c>
      <c r="D25" s="20">
        <v>163141.48899999997</v>
      </c>
      <c r="E25" s="20">
        <v>84190.90399999998</v>
      </c>
      <c r="F25" s="20">
        <v>155218.766</v>
      </c>
      <c r="G25" s="1"/>
      <c r="H25" s="1"/>
      <c r="I25" s="1"/>
      <c r="J25" s="1"/>
      <c r="K25" s="1"/>
      <c r="L25" s="1"/>
      <c r="M25" s="1"/>
      <c r="N25" s="1"/>
    </row>
    <row r="26" spans="2:14" x14ac:dyDescent="0.25">
      <c r="B26" s="1" t="s">
        <v>70</v>
      </c>
      <c r="C26" s="20">
        <v>-188331.05100000004</v>
      </c>
      <c r="D26" s="20">
        <v>-131056.227</v>
      </c>
      <c r="E26" s="20">
        <v>-35809.368000000002</v>
      </c>
      <c r="F26" s="20">
        <v>-102329.86100000002</v>
      </c>
      <c r="G26" s="1"/>
      <c r="H26" s="1"/>
      <c r="I26" s="1"/>
      <c r="J26" s="1"/>
      <c r="K26" s="1"/>
      <c r="L26" s="1"/>
      <c r="M26" s="1"/>
      <c r="N26" s="1"/>
    </row>
    <row r="30" spans="2:14" x14ac:dyDescent="0.25">
      <c r="B30" t="s">
        <v>178</v>
      </c>
    </row>
    <row r="31" spans="2:14" x14ac:dyDescent="0.25">
      <c r="B31" s="1" t="s">
        <v>65</v>
      </c>
      <c r="C31" s="13">
        <f>INDEX($C$3:$N$13,MATCH(B31,$B$3:$B$13,0),MATCH(Main!$E$2,'Total categories'!$C$2:$N$2,0))</f>
        <v>-1.1107513009999979</v>
      </c>
    </row>
    <row r="32" spans="2:14" x14ac:dyDescent="0.25">
      <c r="B32" s="1" t="s">
        <v>153</v>
      </c>
      <c r="C32" s="13">
        <f>INDEX($C$3:$N$13,MATCH(B32,$B$3:$B$13,0),MATCH(Main!$E$2,'Total categories'!$C$2:$N$2,0))</f>
        <v>4.6834128007342004</v>
      </c>
    </row>
    <row r="33" spans="2:3" x14ac:dyDescent="0.25">
      <c r="B33" s="1" t="s">
        <v>66</v>
      </c>
      <c r="C33" s="13">
        <f>INDEX($C$3:$N$13,MATCH(B33,$B$3:$B$13,0),MATCH(Main!$E$2,'Total categories'!$C$2:$N$2,0))</f>
        <v>7.222908393974671</v>
      </c>
    </row>
    <row r="34" spans="2:3" x14ac:dyDescent="0.25">
      <c r="B34" s="1" t="s">
        <v>67</v>
      </c>
      <c r="C34" s="13">
        <f>INDEX($C$3:$N$13,MATCH(B34,$B$3:$B$13,0),MATCH(Main!$E$2,'Total categories'!$C$2:$N$2,0))</f>
        <v>39.149824624984106</v>
      </c>
    </row>
    <row r="35" spans="2:3" x14ac:dyDescent="0.25">
      <c r="B35" s="1" t="s">
        <v>157</v>
      </c>
      <c r="C35" s="13">
        <f>INDEX($C$3:$N$13,MATCH(B35,$B$3:$B$13,0),MATCH(Main!$E$2,'Total categories'!$C$2:$N$2,0))</f>
        <v>0.57203066631893995</v>
      </c>
    </row>
    <row r="36" spans="2:3" x14ac:dyDescent="0.25">
      <c r="B36" s="1" t="s">
        <v>152</v>
      </c>
      <c r="C36" s="13">
        <f>INDEX($C$3:$N$13,MATCH(B36,$B$3:$B$13,0),MATCH(Main!$E$2,'Total categories'!$C$2:$N$2,0))</f>
        <v>7.8891538550559535</v>
      </c>
    </row>
    <row r="37" spans="2:3" x14ac:dyDescent="0.25">
      <c r="B37" s="1" t="s">
        <v>68</v>
      </c>
      <c r="C37" s="13">
        <f>INDEX($C$3:$N$13,MATCH(B37,$B$3:$B$13,0),MATCH(Main!$E$2,'Total categories'!$C$2:$N$2,0))</f>
        <v>9.9887902804595985</v>
      </c>
    </row>
    <row r="38" spans="2:3" x14ac:dyDescent="0.25">
      <c r="B38" s="36" t="s">
        <v>155</v>
      </c>
      <c r="C38" s="13">
        <f>INDEX($C$3:$N$13,MATCH(B38,$B$3:$B$13,0),MATCH(Main!$E$2,'Total categories'!$C$2:$N$2,0))</f>
        <v>0.99800239000000002</v>
      </c>
    </row>
    <row r="39" spans="2:3" x14ac:dyDescent="0.25">
      <c r="B39" s="51" t="s">
        <v>69</v>
      </c>
      <c r="C39" s="13">
        <f>INDEX($C$3:$N$13,MATCH(B39,$B$3:$B$13,0),MATCH(Main!$E$2,'Total categories'!$C$2:$N$2,0))</f>
        <v>6.5524431499999993</v>
      </c>
    </row>
    <row r="40" spans="2:3" x14ac:dyDescent="0.25">
      <c r="B40" s="1" t="s">
        <v>71</v>
      </c>
      <c r="C40" s="13">
        <f>INDEX($C$3:$N$13,MATCH(B40,$B$3:$B$13,0),MATCH(Main!$E$2,'Total categories'!$C$2:$N$2,0))</f>
        <v>2.8274294599999994</v>
      </c>
    </row>
    <row r="41" spans="2:3" x14ac:dyDescent="0.25">
      <c r="B41" s="1" t="s">
        <v>70</v>
      </c>
      <c r="C41" s="13">
        <f>INDEX($C$3:$N$13,MATCH(B41,$B$3:$B$13,0),MATCH(Main!$E$2,'Total categories'!$C$2:$N$2,0))</f>
        <v>1.1955450970670567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55" zoomScaleNormal="55" workbookViewId="0">
      <selection activeCell="C19" sqref="C19:F29"/>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40">
        <f>EOMONTH(C2,0)</f>
        <v>43220</v>
      </c>
      <c r="D1" s="40">
        <f t="shared" ref="D1:N1" si="0">EOMONTH(D2,0)</f>
        <v>43251</v>
      </c>
      <c r="E1" s="40">
        <f t="shared" si="0"/>
        <v>43281</v>
      </c>
      <c r="F1" s="40">
        <f t="shared" si="0"/>
        <v>43312</v>
      </c>
      <c r="G1" s="40">
        <f t="shared" si="0"/>
        <v>43343</v>
      </c>
      <c r="H1" s="40">
        <f t="shared" si="0"/>
        <v>43373</v>
      </c>
      <c r="I1" s="40">
        <f t="shared" si="0"/>
        <v>43404</v>
      </c>
      <c r="J1" s="40">
        <f t="shared" si="0"/>
        <v>43434</v>
      </c>
      <c r="K1" s="40">
        <f t="shared" si="0"/>
        <v>43465</v>
      </c>
      <c r="L1" s="40">
        <f t="shared" si="0"/>
        <v>43496</v>
      </c>
      <c r="M1" s="40">
        <f t="shared" si="0"/>
        <v>43524</v>
      </c>
      <c r="N1" s="40">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72</v>
      </c>
      <c r="C3" s="45">
        <v>-5.6785957729999996</v>
      </c>
      <c r="D3" s="45">
        <v>-6.7129372250000001</v>
      </c>
      <c r="E3" s="45">
        <v>-2.7477750240000005</v>
      </c>
      <c r="F3" s="45">
        <v>-1.0514679629999979</v>
      </c>
      <c r="G3" s="45"/>
      <c r="H3" s="45"/>
      <c r="I3" s="45"/>
      <c r="J3" s="45"/>
      <c r="K3" s="45"/>
      <c r="L3" s="45"/>
      <c r="M3" s="45"/>
      <c r="N3" s="45"/>
    </row>
    <row r="4" spans="2:14" x14ac:dyDescent="0.25">
      <c r="B4" s="36" t="s">
        <v>161</v>
      </c>
      <c r="C4" s="45">
        <v>2.5151462703844705</v>
      </c>
      <c r="D4" s="45">
        <v>2.1671162350851598</v>
      </c>
      <c r="E4" s="45">
        <v>0.84352933152058007</v>
      </c>
      <c r="F4" s="45">
        <v>1.9906922305516099</v>
      </c>
      <c r="G4" s="45"/>
      <c r="H4" s="45"/>
      <c r="I4" s="45"/>
      <c r="J4" s="45"/>
      <c r="K4" s="45"/>
      <c r="L4" s="45"/>
      <c r="M4" s="45"/>
      <c r="N4" s="45"/>
    </row>
    <row r="5" spans="2:14" x14ac:dyDescent="0.25">
      <c r="B5" s="36" t="s">
        <v>80</v>
      </c>
      <c r="C5" s="45">
        <v>7.5542247806790003E-2</v>
      </c>
      <c r="D5" s="45">
        <v>4.1343767424000005E-2</v>
      </c>
      <c r="E5" s="45">
        <v>3.3740635283049991E-2</v>
      </c>
      <c r="F5" s="45">
        <v>0.12881977397467001</v>
      </c>
      <c r="G5" s="45"/>
      <c r="H5" s="45"/>
      <c r="I5" s="45"/>
      <c r="J5" s="45"/>
      <c r="K5" s="45"/>
      <c r="L5" s="45"/>
      <c r="M5" s="45"/>
      <c r="N5" s="45"/>
    </row>
    <row r="6" spans="2:14" x14ac:dyDescent="0.25">
      <c r="B6" s="36" t="s">
        <v>30</v>
      </c>
      <c r="C6" s="45">
        <v>1.5418544912971104</v>
      </c>
      <c r="D6" s="45">
        <v>1.9115607008938198</v>
      </c>
      <c r="E6" s="45">
        <v>2.2672596151643902</v>
      </c>
      <c r="F6" s="45">
        <v>2.4010604574041801</v>
      </c>
      <c r="G6" s="45"/>
      <c r="H6" s="45"/>
      <c r="I6" s="45"/>
      <c r="J6" s="45"/>
      <c r="K6" s="45"/>
      <c r="L6" s="45"/>
      <c r="M6" s="45"/>
      <c r="N6" s="45"/>
    </row>
    <row r="7" spans="2:14" x14ac:dyDescent="0.25">
      <c r="B7" s="36" t="s">
        <v>31</v>
      </c>
      <c r="C7" s="45">
        <v>5.4836200860892985</v>
      </c>
      <c r="D7" s="45">
        <v>10.703076720636238</v>
      </c>
      <c r="E7" s="45">
        <v>19.718925942600197</v>
      </c>
      <c r="F7" s="45">
        <v>22.079381621213891</v>
      </c>
      <c r="G7" s="45"/>
      <c r="H7" s="45"/>
      <c r="I7" s="45"/>
      <c r="J7" s="45"/>
      <c r="K7" s="45"/>
      <c r="L7" s="45"/>
      <c r="M7" s="45"/>
      <c r="N7" s="45"/>
    </row>
    <row r="8" spans="2:14" x14ac:dyDescent="0.25">
      <c r="B8" s="36" t="s">
        <v>73</v>
      </c>
      <c r="C8" s="45">
        <v>13.20130082284664</v>
      </c>
      <c r="D8" s="45">
        <v>1.3786020702535</v>
      </c>
      <c r="E8" s="45">
        <v>7.21859901546489</v>
      </c>
      <c r="F8" s="45">
        <v>0.82944362566837992</v>
      </c>
      <c r="G8" s="45"/>
      <c r="H8" s="45"/>
      <c r="I8" s="45"/>
      <c r="J8" s="45"/>
      <c r="K8" s="45"/>
      <c r="L8" s="45"/>
      <c r="M8" s="45"/>
      <c r="N8" s="45"/>
    </row>
    <row r="9" spans="2:14" x14ac:dyDescent="0.25">
      <c r="B9" s="36" t="s">
        <v>32</v>
      </c>
      <c r="C9" s="45">
        <v>8.0221295409930005E-2</v>
      </c>
      <c r="D9" s="45">
        <v>1.5138290816917899</v>
      </c>
      <c r="E9" s="45">
        <v>4.7689019311071004</v>
      </c>
      <c r="F9" s="45">
        <v>0.23350179111698999</v>
      </c>
      <c r="G9" s="45"/>
      <c r="H9" s="45"/>
      <c r="I9" s="45"/>
      <c r="J9" s="45"/>
      <c r="K9" s="45"/>
      <c r="L9" s="45"/>
      <c r="M9" s="45"/>
      <c r="N9" s="45"/>
    </row>
    <row r="10" spans="2:14" x14ac:dyDescent="0.25">
      <c r="B10" s="36" t="s">
        <v>116</v>
      </c>
      <c r="C10" s="45">
        <v>0.22926964812080999</v>
      </c>
      <c r="D10" s="45">
        <v>8.3770135558110012E-2</v>
      </c>
      <c r="E10" s="45">
        <v>7.4540071759729987E-2</v>
      </c>
      <c r="F10" s="45">
        <v>1.6393653292760001E-2</v>
      </c>
      <c r="G10" s="45"/>
      <c r="H10" s="45"/>
      <c r="I10" s="45"/>
      <c r="J10" s="45"/>
      <c r="K10" s="45"/>
      <c r="L10" s="45"/>
      <c r="M10" s="45"/>
      <c r="N10" s="45"/>
    </row>
    <row r="11" spans="2:14" x14ac:dyDescent="0.25">
      <c r="B11" s="36" t="s">
        <v>162</v>
      </c>
      <c r="C11" s="45">
        <v>1.2439064946892198</v>
      </c>
      <c r="D11" s="45">
        <v>1.1411545099957201</v>
      </c>
      <c r="E11" s="45">
        <v>1.0350830117779699</v>
      </c>
      <c r="F11" s="45">
        <v>1.10678361505595</v>
      </c>
      <c r="G11" s="45"/>
      <c r="H11" s="45"/>
      <c r="I11" s="45"/>
      <c r="J11" s="45"/>
      <c r="K11" s="45"/>
      <c r="L11" s="45"/>
      <c r="M11" s="45"/>
      <c r="N11" s="45"/>
    </row>
    <row r="12" spans="2:14" x14ac:dyDescent="0.25">
      <c r="B12" s="36" t="s">
        <v>28</v>
      </c>
      <c r="C12" s="45">
        <v>0.93277578673537997</v>
      </c>
      <c r="D12" s="45">
        <v>1.3639906408508395</v>
      </c>
      <c r="E12" s="45">
        <v>1.0084221412504</v>
      </c>
      <c r="F12" s="45">
        <v>1.5431241204595996</v>
      </c>
      <c r="G12" s="45"/>
      <c r="H12" s="45"/>
      <c r="I12" s="45"/>
      <c r="J12" s="45"/>
      <c r="K12" s="45"/>
      <c r="L12" s="45"/>
      <c r="M12" s="45"/>
      <c r="N12" s="45"/>
    </row>
    <row r="13" spans="2:14" x14ac:dyDescent="0.25">
      <c r="B13" s="1" t="s">
        <v>33</v>
      </c>
      <c r="C13" s="45">
        <v>1.2149987460538103</v>
      </c>
      <c r="D13" s="45">
        <v>1.1487399109324099</v>
      </c>
      <c r="E13" s="45">
        <v>1.5910037236083103</v>
      </c>
      <c r="F13" s="45">
        <v>1.5077516180486001</v>
      </c>
      <c r="G13" s="45"/>
      <c r="H13" s="45"/>
      <c r="I13" s="45"/>
      <c r="J13" s="45"/>
      <c r="K13" s="45"/>
      <c r="L13" s="45"/>
      <c r="M13" s="45"/>
      <c r="N13" s="45"/>
    </row>
    <row r="16" spans="2:14" x14ac:dyDescent="0.25">
      <c r="C16" s="13"/>
    </row>
    <row r="18" spans="2:18" x14ac:dyDescent="0.25">
      <c r="B18" s="2" t="s">
        <v>138</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72</v>
      </c>
      <c r="C19" s="20">
        <v>-234870.38700000002</v>
      </c>
      <c r="D19" s="20">
        <v>-214304.06299999999</v>
      </c>
      <c r="E19" s="20">
        <v>-116048.56600000001</v>
      </c>
      <c r="F19" s="20">
        <v>-94894.685999999987</v>
      </c>
      <c r="G19" s="20"/>
      <c r="H19" s="20"/>
      <c r="I19" s="20"/>
      <c r="J19" s="20"/>
      <c r="K19" s="20"/>
      <c r="L19" s="20"/>
      <c r="M19" s="20"/>
      <c r="N19" s="20"/>
      <c r="P19" s="31"/>
      <c r="Q19" s="32"/>
      <c r="R19" s="32"/>
    </row>
    <row r="20" spans="2:18" x14ac:dyDescent="0.25">
      <c r="B20" s="36" t="s">
        <v>161</v>
      </c>
      <c r="C20" s="20">
        <v>108098.43799999999</v>
      </c>
      <c r="D20" s="20">
        <v>89675.133000000002</v>
      </c>
      <c r="E20" s="20">
        <v>48441.554999999993</v>
      </c>
      <c r="F20" s="20">
        <v>90556.491999999984</v>
      </c>
      <c r="G20" s="20"/>
      <c r="H20" s="20"/>
      <c r="I20" s="20"/>
      <c r="J20" s="20"/>
      <c r="K20" s="20"/>
      <c r="L20" s="20"/>
      <c r="M20" s="20"/>
      <c r="N20" s="20"/>
      <c r="P20" s="31"/>
      <c r="Q20" s="32"/>
      <c r="R20" s="32"/>
    </row>
    <row r="21" spans="2:18" x14ac:dyDescent="0.25">
      <c r="B21" s="36" t="s">
        <v>80</v>
      </c>
      <c r="C21" s="20">
        <v>1523.3530000000001</v>
      </c>
      <c r="D21" s="20">
        <v>802.3599999999999</v>
      </c>
      <c r="E21" s="20">
        <v>856.43999999999994</v>
      </c>
      <c r="F21" s="20">
        <v>1569.425</v>
      </c>
      <c r="G21" s="20"/>
      <c r="H21" s="20"/>
      <c r="I21" s="20"/>
      <c r="J21" s="20"/>
      <c r="K21" s="20"/>
      <c r="L21" s="20"/>
      <c r="M21" s="20"/>
      <c r="N21" s="20"/>
      <c r="P21" s="31"/>
      <c r="Q21" s="32"/>
      <c r="R21" s="32"/>
    </row>
    <row r="22" spans="2:18" x14ac:dyDescent="0.25">
      <c r="B22" s="36" t="s">
        <v>30</v>
      </c>
      <c r="C22" s="20">
        <v>189509.33599999995</v>
      </c>
      <c r="D22" s="20">
        <v>228718.93099999995</v>
      </c>
      <c r="E22" s="20">
        <v>357295.06899999996</v>
      </c>
      <c r="F22" s="20">
        <v>372715.31700000004</v>
      </c>
      <c r="G22" s="20"/>
      <c r="H22" s="20"/>
      <c r="I22" s="20"/>
      <c r="J22" s="20"/>
      <c r="K22" s="20"/>
      <c r="L22" s="20"/>
      <c r="M22" s="20"/>
      <c r="N22" s="20"/>
      <c r="P22" s="31"/>
      <c r="Q22" s="32"/>
      <c r="R22" s="32"/>
    </row>
    <row r="23" spans="2:18" x14ac:dyDescent="0.25">
      <c r="B23" s="36" t="s">
        <v>31</v>
      </c>
      <c r="C23" s="20">
        <v>239416.11900000004</v>
      </c>
      <c r="D23" s="20">
        <v>467633.48099999997</v>
      </c>
      <c r="E23" s="20">
        <v>722269.62199999986</v>
      </c>
      <c r="F23" s="20">
        <v>659999.26399999997</v>
      </c>
      <c r="G23" s="20"/>
      <c r="H23" s="20"/>
      <c r="I23" s="20"/>
      <c r="J23" s="20"/>
      <c r="K23" s="20"/>
      <c r="L23" s="20"/>
      <c r="M23" s="20"/>
      <c r="N23" s="20"/>
      <c r="P23" s="31"/>
      <c r="Q23" s="32"/>
      <c r="R23" s="32"/>
    </row>
    <row r="24" spans="2:18" x14ac:dyDescent="0.25">
      <c r="B24" s="36" t="s">
        <v>73</v>
      </c>
      <c r="C24" s="20">
        <v>166661.80100000001</v>
      </c>
      <c r="D24" s="20">
        <v>22779.785</v>
      </c>
      <c r="E24" s="20">
        <v>73651.156999999992</v>
      </c>
      <c r="F24" s="20">
        <v>20934.861000000001</v>
      </c>
      <c r="G24" s="20"/>
      <c r="H24" s="20"/>
      <c r="I24" s="20"/>
      <c r="J24" s="20"/>
      <c r="K24" s="20"/>
      <c r="L24" s="20"/>
      <c r="M24" s="20"/>
      <c r="N24" s="20"/>
      <c r="P24" s="31"/>
      <c r="Q24" s="32"/>
      <c r="R24" s="32"/>
    </row>
    <row r="25" spans="2:18" x14ac:dyDescent="0.25">
      <c r="B25" s="36" t="s">
        <v>32</v>
      </c>
      <c r="C25" s="20">
        <v>3005.42</v>
      </c>
      <c r="D25" s="20">
        <v>39299.046999999999</v>
      </c>
      <c r="E25" s="20">
        <v>80675.399000000005</v>
      </c>
      <c r="F25" s="20">
        <v>4154.3240000000005</v>
      </c>
      <c r="G25" s="20"/>
      <c r="H25" s="20"/>
      <c r="I25" s="20"/>
      <c r="J25" s="20"/>
      <c r="K25" s="20"/>
      <c r="L25" s="20"/>
      <c r="M25" s="20"/>
      <c r="N25" s="20"/>
      <c r="P25" s="31"/>
      <c r="Q25" s="32"/>
      <c r="R25" s="32"/>
    </row>
    <row r="26" spans="2:18" x14ac:dyDescent="0.25">
      <c r="B26" s="36" t="s">
        <v>116</v>
      </c>
      <c r="C26" s="20">
        <v>-7746.0359999999982</v>
      </c>
      <c r="D26" s="20">
        <v>-2620.02</v>
      </c>
      <c r="E26" s="20">
        <v>-1634.1059999999998</v>
      </c>
      <c r="F26" s="20">
        <v>-807.94100000000003</v>
      </c>
      <c r="G26" s="20"/>
      <c r="H26" s="20"/>
      <c r="I26" s="20"/>
      <c r="J26" s="20"/>
      <c r="K26" s="20"/>
      <c r="L26" s="20"/>
      <c r="M26" s="20"/>
      <c r="N26" s="20"/>
      <c r="P26" s="31"/>
      <c r="Q26" s="32"/>
      <c r="R26" s="32"/>
    </row>
    <row r="27" spans="2:18" x14ac:dyDescent="0.25">
      <c r="B27" s="36" t="s">
        <v>162</v>
      </c>
      <c r="C27" s="20">
        <v>25343.830999999998</v>
      </c>
      <c r="D27" s="20">
        <v>23446.991000000009</v>
      </c>
      <c r="E27" s="20">
        <v>27381.694000000003</v>
      </c>
      <c r="F27" s="20">
        <v>26432.097999999998</v>
      </c>
      <c r="G27" s="20"/>
      <c r="H27" s="20"/>
      <c r="I27" s="20"/>
      <c r="J27" s="20"/>
      <c r="K27" s="20"/>
      <c r="L27" s="20"/>
      <c r="M27" s="20"/>
      <c r="N27" s="20"/>
      <c r="P27" s="31"/>
      <c r="Q27" s="32"/>
      <c r="R27" s="32"/>
    </row>
    <row r="28" spans="2:18" x14ac:dyDescent="0.25">
      <c r="B28" s="36" t="s">
        <v>28</v>
      </c>
      <c r="C28" s="20">
        <v>118700.29000000002</v>
      </c>
      <c r="D28" s="20">
        <v>163141.48899999997</v>
      </c>
      <c r="E28" s="20">
        <v>84190.90399999998</v>
      </c>
      <c r="F28" s="20">
        <v>155218.766</v>
      </c>
      <c r="G28" s="20"/>
      <c r="H28" s="20"/>
      <c r="I28" s="20"/>
      <c r="J28" s="20"/>
      <c r="K28" s="20"/>
      <c r="L28" s="20"/>
      <c r="M28" s="20"/>
      <c r="N28" s="20"/>
      <c r="P28" s="31"/>
      <c r="Q28" s="32"/>
      <c r="R28" s="32"/>
    </row>
    <row r="29" spans="2:18" x14ac:dyDescent="0.25">
      <c r="B29" s="1" t="s">
        <v>33</v>
      </c>
      <c r="C29" s="20">
        <v>-188331.05099999998</v>
      </c>
      <c r="D29" s="20">
        <v>-130116.75200000001</v>
      </c>
      <c r="E29" s="20">
        <v>-34385.275999999998</v>
      </c>
      <c r="F29" s="20">
        <v>-101358.372</v>
      </c>
      <c r="G29" s="20"/>
      <c r="H29" s="20"/>
      <c r="I29" s="20"/>
      <c r="J29" s="20"/>
      <c r="K29" s="20"/>
      <c r="L29" s="20"/>
      <c r="M29" s="20"/>
      <c r="N2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E10" sqref="E10"/>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5">
        <v>10.06425198999959</v>
      </c>
      <c r="D3" s="45">
        <v>10.814195499999821</v>
      </c>
      <c r="E3" s="45">
        <v>10.421182399189757</v>
      </c>
      <c r="F3" s="45">
        <v>8.4456661599999983</v>
      </c>
      <c r="G3" s="45"/>
      <c r="H3" s="45"/>
      <c r="I3" s="45"/>
      <c r="J3" s="45"/>
      <c r="K3" s="45"/>
      <c r="L3" s="45"/>
      <c r="M3" s="45"/>
      <c r="N3" s="45"/>
    </row>
    <row r="4" spans="2:14" x14ac:dyDescent="0.25">
      <c r="B4" s="4" t="s">
        <v>8</v>
      </c>
      <c r="C4" s="45">
        <v>5.3843252100000001</v>
      </c>
      <c r="D4" s="45">
        <v>5.4367516499999988</v>
      </c>
      <c r="E4" s="45">
        <v>5.2139741590000011</v>
      </c>
      <c r="F4" s="45">
        <v>6.7823702400000023</v>
      </c>
      <c r="G4" s="45"/>
      <c r="H4" s="45"/>
      <c r="I4" s="45"/>
      <c r="J4" s="45"/>
      <c r="K4" s="45"/>
      <c r="L4" s="45"/>
      <c r="M4" s="45"/>
      <c r="N4" s="45"/>
    </row>
    <row r="5" spans="2:14" x14ac:dyDescent="0.25">
      <c r="B5" s="4" t="s">
        <v>9</v>
      </c>
      <c r="C5" s="45">
        <v>5.7717608799999987</v>
      </c>
      <c r="D5" s="45">
        <v>6.7625469100000002</v>
      </c>
      <c r="E5" s="45">
        <v>6.4696123500000002</v>
      </c>
      <c r="F5" s="45">
        <v>7.0940886200000008</v>
      </c>
      <c r="G5" s="45"/>
      <c r="H5" s="45"/>
      <c r="I5" s="45"/>
      <c r="J5" s="45"/>
      <c r="K5" s="45"/>
      <c r="L5" s="45"/>
      <c r="M5" s="45"/>
      <c r="N5" s="45"/>
    </row>
    <row r="6" spans="2:14" x14ac:dyDescent="0.25">
      <c r="B6" s="4" t="s">
        <v>10</v>
      </c>
      <c r="C6" s="45">
        <v>0.71916078000000017</v>
      </c>
      <c r="D6" s="45">
        <v>0.8414972799999999</v>
      </c>
      <c r="E6" s="45">
        <v>0.75124215999999999</v>
      </c>
      <c r="F6" s="45">
        <v>0.99800239000000002</v>
      </c>
      <c r="G6" s="45"/>
      <c r="H6" s="45"/>
      <c r="I6" s="45"/>
      <c r="J6" s="45"/>
      <c r="K6" s="45"/>
      <c r="L6" s="45"/>
      <c r="M6" s="45"/>
      <c r="N6" s="45"/>
    </row>
    <row r="7" spans="2:14" x14ac:dyDescent="0.25">
      <c r="B7" s="58" t="s">
        <v>11</v>
      </c>
      <c r="C7" s="45">
        <v>3.3660501699999998</v>
      </c>
      <c r="D7" s="45">
        <v>3.6704132239652592</v>
      </c>
      <c r="E7" s="45">
        <v>3.2253605499999995</v>
      </c>
      <c r="F7" s="45">
        <v>2.8274294599999994</v>
      </c>
      <c r="G7" s="45"/>
      <c r="H7" s="45"/>
      <c r="I7" s="45"/>
      <c r="J7" s="45"/>
      <c r="K7" s="45"/>
      <c r="L7" s="45"/>
      <c r="M7" s="45"/>
      <c r="N7" s="45"/>
    </row>
    <row r="8" spans="2:14" x14ac:dyDescent="0.25">
      <c r="B8" s="58" t="s">
        <v>12</v>
      </c>
      <c r="C8" s="45">
        <v>6.3138506403902044</v>
      </c>
      <c r="D8" s="45">
        <v>7.0256712320249992</v>
      </c>
      <c r="E8" s="45">
        <v>7.3253937599999981</v>
      </c>
      <c r="F8" s="45">
        <v>6.5524431499999993</v>
      </c>
      <c r="G8" s="45"/>
      <c r="H8" s="45"/>
      <c r="I8" s="45"/>
      <c r="J8" s="45"/>
      <c r="K8" s="45"/>
      <c r="L8" s="45"/>
      <c r="M8" s="45"/>
      <c r="N8" s="45"/>
    </row>
    <row r="9" spans="2:14" x14ac:dyDescent="0.25">
      <c r="B9" s="58" t="s">
        <v>13</v>
      </c>
      <c r="C9" s="45">
        <v>2.7400137846400008</v>
      </c>
      <c r="D9" s="45">
        <v>0.63853029412799978</v>
      </c>
      <c r="E9" s="45">
        <v>3.5447260446399995</v>
      </c>
      <c r="F9" s="45">
        <v>0.19321358372800002</v>
      </c>
      <c r="G9" s="45"/>
      <c r="H9" s="45"/>
      <c r="I9" s="45"/>
      <c r="J9" s="45"/>
      <c r="K9" s="45"/>
      <c r="L9" s="45"/>
      <c r="M9" s="45"/>
      <c r="N9" s="45"/>
    </row>
    <row r="10" spans="2:14" x14ac:dyDescent="0.25">
      <c r="B10" s="58" t="s">
        <v>14</v>
      </c>
      <c r="C10" s="45">
        <v>0.79709770691244231</v>
      </c>
      <c r="D10" s="45">
        <v>0.71385446570400912</v>
      </c>
      <c r="E10" s="45">
        <v>0.7192806959206951</v>
      </c>
      <c r="F10" s="45">
        <v>0.77064764386643247</v>
      </c>
      <c r="G10" s="45"/>
      <c r="H10" s="45"/>
      <c r="I10" s="45"/>
      <c r="J10" s="45"/>
      <c r="K10" s="45"/>
      <c r="L10" s="45"/>
      <c r="M10" s="45"/>
      <c r="N10" s="45"/>
    </row>
    <row r="11" spans="2:14" x14ac:dyDescent="0.25">
      <c r="B11" s="4" t="s">
        <v>15</v>
      </c>
      <c r="C11" s="45">
        <v>2.2512000000000001E-4</v>
      </c>
      <c r="D11" s="45">
        <v>0</v>
      </c>
      <c r="E11" s="45">
        <v>0</v>
      </c>
      <c r="F11" s="45">
        <v>0</v>
      </c>
      <c r="G11" s="45"/>
      <c r="H11" s="45"/>
      <c r="I11" s="45"/>
      <c r="J11" s="45"/>
      <c r="K11" s="45"/>
      <c r="L11" s="45"/>
      <c r="M11" s="45"/>
      <c r="N11" s="45"/>
    </row>
    <row r="12" spans="2:14" x14ac:dyDescent="0.25">
      <c r="B12" s="4" t="s">
        <v>16</v>
      </c>
      <c r="C12" s="45">
        <v>0.14716199999999999</v>
      </c>
      <c r="D12" s="45">
        <v>0</v>
      </c>
      <c r="E12" s="45">
        <v>0</v>
      </c>
      <c r="F12" s="45">
        <v>0</v>
      </c>
      <c r="G12" s="45"/>
      <c r="H12" s="45"/>
      <c r="I12" s="45"/>
      <c r="J12" s="45"/>
      <c r="K12" s="45"/>
      <c r="L12" s="45"/>
      <c r="M12" s="45"/>
      <c r="N12" s="45"/>
    </row>
    <row r="13" spans="2:14" x14ac:dyDescent="0.25">
      <c r="C13" s="31"/>
      <c r="D13" s="31"/>
      <c r="E13" s="31"/>
      <c r="F13" s="31"/>
      <c r="G13" s="31"/>
      <c r="H13" s="31"/>
      <c r="I13" s="31"/>
      <c r="J13" s="31"/>
      <c r="K13" s="31"/>
      <c r="L13" s="31"/>
      <c r="M13" s="31"/>
      <c r="N13" s="31"/>
    </row>
    <row r="14" spans="2:14" x14ac:dyDescent="0.25">
      <c r="C14" s="31"/>
      <c r="D14" s="31"/>
      <c r="E14" s="31"/>
      <c r="F14" s="31"/>
      <c r="G14" s="31"/>
      <c r="H14" s="31"/>
      <c r="I14" s="31"/>
      <c r="J14" s="31"/>
      <c r="K14" s="31"/>
      <c r="L14" s="31"/>
      <c r="M14" s="31"/>
      <c r="N14" s="31"/>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5">
        <v>7.2446188500000002</v>
      </c>
      <c r="D16" s="45">
        <v>8.2810106999999995</v>
      </c>
      <c r="E16" s="45">
        <v>8.0767327400000006</v>
      </c>
      <c r="F16" s="45">
        <v>7.8867142799999996</v>
      </c>
      <c r="G16" s="45"/>
      <c r="H16" s="45"/>
      <c r="I16" s="45"/>
      <c r="J16" s="45"/>
      <c r="K16" s="45"/>
      <c r="L16" s="45"/>
      <c r="M16" s="45"/>
      <c r="N16" s="45"/>
    </row>
    <row r="17" spans="2:14" x14ac:dyDescent="0.25">
      <c r="B17" s="1" t="s">
        <v>18</v>
      </c>
      <c r="C17" s="45">
        <v>13.468501411942231</v>
      </c>
      <c r="D17" s="45">
        <v>11.719697305822093</v>
      </c>
      <c r="E17" s="45">
        <v>14.210129809750452</v>
      </c>
      <c r="F17" s="45">
        <v>12.61815275759443</v>
      </c>
      <c r="G17" s="45"/>
      <c r="H17" s="45"/>
      <c r="I17" s="45"/>
      <c r="J17" s="45"/>
      <c r="K17" s="45"/>
      <c r="L17" s="45"/>
      <c r="M17" s="45"/>
      <c r="N17" s="45"/>
    </row>
    <row r="18" spans="2:14" x14ac:dyDescent="0.25">
      <c r="B18" s="1" t="s">
        <v>20</v>
      </c>
      <c r="C18" s="45">
        <v>14.443390900000001</v>
      </c>
      <c r="D18" s="45">
        <v>15.751956000000005</v>
      </c>
      <c r="E18" s="45">
        <v>15.080492808999995</v>
      </c>
      <c r="F18" s="45">
        <v>13.024871880000001</v>
      </c>
      <c r="G18" s="45"/>
      <c r="H18" s="45"/>
      <c r="I18" s="45"/>
      <c r="J18" s="45"/>
      <c r="K18" s="45"/>
      <c r="L18" s="45"/>
      <c r="M18" s="45"/>
      <c r="N18" s="45"/>
    </row>
    <row r="19" spans="2:14" x14ac:dyDescent="0.25">
      <c r="B19" s="1" t="s">
        <v>19</v>
      </c>
      <c r="C19" s="45">
        <v>0.14738711999999998</v>
      </c>
      <c r="D19" s="45">
        <v>0</v>
      </c>
      <c r="E19" s="45">
        <v>0</v>
      </c>
      <c r="F19" s="45">
        <v>0</v>
      </c>
      <c r="G19" s="45"/>
      <c r="H19" s="45"/>
      <c r="I19" s="45"/>
      <c r="J19" s="45"/>
      <c r="K19" s="45"/>
      <c r="L19" s="45"/>
      <c r="M19" s="45"/>
      <c r="N19" s="45"/>
    </row>
    <row r="25" spans="2:14" x14ac:dyDescent="0.25"/>
    <row r="41" spans="2:2" x14ac:dyDescent="0.25">
      <c r="B41" s="50" t="s">
        <v>171</v>
      </c>
    </row>
    <row r="42" spans="2:2" x14ac:dyDescent="0.25">
      <c r="B42" t="str">
        <f>"Ancillary Services Cost - "&amp;TEXT(Main!E1,"mmm yyyy")</f>
        <v>Ancillary Services Cost - Jul 2018</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CC"/>
  </sheetPr>
  <dimension ref="B2:P38"/>
  <sheetViews>
    <sheetView zoomScaleNormal="100" workbookViewId="0">
      <selection activeCell="E34" sqref="E34"/>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129</v>
      </c>
      <c r="C2" s="3">
        <v>43191</v>
      </c>
      <c r="D2" s="3">
        <v>43221</v>
      </c>
      <c r="E2" s="3">
        <v>43252</v>
      </c>
      <c r="F2" s="3">
        <v>43282</v>
      </c>
      <c r="G2" s="3">
        <v>43313</v>
      </c>
      <c r="H2" s="3">
        <v>43344</v>
      </c>
      <c r="I2" s="3">
        <v>43374</v>
      </c>
      <c r="J2" s="3">
        <v>43405</v>
      </c>
      <c r="K2" s="3">
        <v>43435</v>
      </c>
      <c r="L2" s="3">
        <v>43466</v>
      </c>
      <c r="M2" s="3">
        <v>43497</v>
      </c>
      <c r="N2" s="3">
        <v>43525</v>
      </c>
      <c r="P2" t="s">
        <v>178</v>
      </c>
    </row>
    <row r="3" spans="2:16" x14ac:dyDescent="0.25">
      <c r="B3" s="4" t="s">
        <v>131</v>
      </c>
      <c r="C3" s="59">
        <v>22190</v>
      </c>
      <c r="D3" s="60">
        <v>73582.5</v>
      </c>
      <c r="E3" s="60">
        <v>139079.5</v>
      </c>
      <c r="F3" s="60">
        <v>119046.5</v>
      </c>
      <c r="G3" s="60"/>
      <c r="H3" s="60"/>
      <c r="I3" s="60"/>
      <c r="J3" s="60"/>
      <c r="K3" s="60"/>
      <c r="L3" s="60"/>
      <c r="M3" s="60"/>
      <c r="N3" s="60"/>
      <c r="P3" s="55">
        <f>HLOOKUP(Main!E1,Trades!$C$2:$N$5,4,FALSE)</f>
        <v>428543.5</v>
      </c>
    </row>
    <row r="4" spans="2:16" x14ac:dyDescent="0.25">
      <c r="B4" s="4" t="s">
        <v>132</v>
      </c>
      <c r="C4" s="59">
        <v>116182</v>
      </c>
      <c r="D4" s="60">
        <v>281479.5</v>
      </c>
      <c r="E4" s="60">
        <v>231333.4</v>
      </c>
      <c r="F4" s="60">
        <v>309497</v>
      </c>
      <c r="G4" s="60"/>
      <c r="H4" s="60"/>
      <c r="I4" s="60"/>
      <c r="J4" s="60"/>
      <c r="K4" s="60"/>
      <c r="L4" s="60"/>
      <c r="M4" s="60"/>
      <c r="N4" s="60"/>
      <c r="P4" s="13"/>
    </row>
    <row r="5" spans="2:16" x14ac:dyDescent="0.25">
      <c r="B5" s="4" t="s">
        <v>140</v>
      </c>
      <c r="C5" s="60">
        <f>SUM(C3:C4)</f>
        <v>138372</v>
      </c>
      <c r="D5" s="60">
        <f>SUM(D3:D4)</f>
        <v>355062</v>
      </c>
      <c r="E5" s="60">
        <f>SUM(E3:E4)</f>
        <v>370412.9</v>
      </c>
      <c r="F5" s="60">
        <f>SUM(F3:F4)</f>
        <v>428543.5</v>
      </c>
      <c r="G5" s="60"/>
      <c r="H5" s="60"/>
      <c r="I5" s="60"/>
      <c r="J5" s="60"/>
      <c r="K5" s="60"/>
      <c r="L5" s="60"/>
      <c r="M5" s="60"/>
      <c r="N5" s="60"/>
    </row>
    <row r="6" spans="2:16" x14ac:dyDescent="0.25">
      <c r="B6" s="37"/>
      <c r="C6" s="38"/>
      <c r="D6" s="38"/>
      <c r="E6" s="38"/>
      <c r="F6" s="38"/>
      <c r="G6" s="38"/>
      <c r="H6" s="38"/>
      <c r="I6" s="38"/>
      <c r="J6" s="38"/>
      <c r="K6" s="38"/>
      <c r="L6" s="38"/>
      <c r="M6" s="38"/>
      <c r="N6" s="38"/>
    </row>
    <row r="7" spans="2:16" x14ac:dyDescent="0.25">
      <c r="C7" s="30"/>
    </row>
    <row r="8" spans="2:16" x14ac:dyDescent="0.25">
      <c r="B8" s="2" t="s">
        <v>130</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142</v>
      </c>
      <c r="C9" s="11">
        <f>0.237922+0.0651909</f>
        <v>0.30311290000000002</v>
      </c>
      <c r="D9" s="12">
        <f>1.28180166+0.4176639</f>
        <v>1.6994655599999999</v>
      </c>
      <c r="E9" s="12">
        <v>3.281732232</v>
      </c>
      <c r="F9" s="12">
        <v>2.4576692499999999</v>
      </c>
      <c r="G9" s="12"/>
      <c r="H9" s="12"/>
      <c r="I9" s="12"/>
      <c r="J9" s="12"/>
      <c r="K9" s="12"/>
      <c r="L9" s="12"/>
      <c r="M9" s="12"/>
      <c r="N9" s="12"/>
    </row>
    <row r="10" spans="2:16" x14ac:dyDescent="0.25">
      <c r="B10" s="4" t="s">
        <v>143</v>
      </c>
      <c r="C10" s="11">
        <v>3.9408755688000001</v>
      </c>
      <c r="D10" s="12">
        <v>10.9971745</v>
      </c>
      <c r="E10" s="12">
        <v>13.11942185</v>
      </c>
      <c r="F10" s="12">
        <v>14.199445320000001</v>
      </c>
      <c r="G10" s="12"/>
      <c r="H10" s="12"/>
      <c r="I10" s="12"/>
      <c r="J10" s="12"/>
      <c r="K10" s="12"/>
      <c r="L10" s="12"/>
      <c r="M10" s="12"/>
      <c r="N10" s="12"/>
    </row>
    <row r="33" spans="2:10" x14ac:dyDescent="0.25">
      <c r="B33" s="42"/>
      <c r="J33" s="42"/>
    </row>
    <row r="38" spans="2:10" x14ac:dyDescent="0.25">
      <c r="B38" s="4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O34"/>
  <sheetViews>
    <sheetView zoomScale="85" zoomScaleNormal="85" workbookViewId="0">
      <selection activeCell="E4" sqref="E4"/>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6.42578125" bestFit="1"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75</v>
      </c>
      <c r="C3" s="59">
        <v>4.39553021999959</v>
      </c>
      <c r="D3" s="59">
        <v>4.4943416799998221</v>
      </c>
      <c r="E3" s="59">
        <v>4.6840680191897528</v>
      </c>
      <c r="F3" s="60">
        <v>4.8531435500000004</v>
      </c>
      <c r="G3" s="60"/>
      <c r="H3" s="60"/>
      <c r="I3" s="60"/>
      <c r="J3" s="60"/>
      <c r="K3" s="60"/>
      <c r="L3" s="60"/>
      <c r="M3" s="60"/>
      <c r="N3" s="60"/>
      <c r="O3">
        <v>0</v>
      </c>
    </row>
    <row r="4" spans="2:15" x14ac:dyDescent="0.25">
      <c r="B4" s="4" t="s">
        <v>76</v>
      </c>
      <c r="C4" s="59">
        <v>3.8632746200000003</v>
      </c>
      <c r="D4" s="59">
        <v>4.5016228900000002</v>
      </c>
      <c r="E4" s="59">
        <v>4.2503607900000002</v>
      </c>
      <c r="F4" s="60">
        <v>4.5475005299999998</v>
      </c>
      <c r="G4" s="60"/>
      <c r="H4" s="60"/>
      <c r="I4" s="60"/>
      <c r="J4" s="60"/>
      <c r="K4" s="60"/>
      <c r="L4" s="60"/>
      <c r="M4" s="60"/>
      <c r="N4" s="60"/>
    </row>
    <row r="5" spans="2:15" x14ac:dyDescent="0.25">
      <c r="B5" s="4" t="s">
        <v>77</v>
      </c>
      <c r="C5" s="59">
        <v>0.83989016999999966</v>
      </c>
      <c r="D5" s="59">
        <v>0.92044844999999997</v>
      </c>
      <c r="E5" s="59">
        <v>0.54649421899999984</v>
      </c>
      <c r="F5" s="60">
        <v>0.63436353999999961</v>
      </c>
      <c r="G5" s="60"/>
      <c r="H5" s="60"/>
      <c r="I5" s="60"/>
      <c r="J5" s="60"/>
      <c r="K5" s="60"/>
      <c r="L5" s="60"/>
      <c r="M5" s="60"/>
      <c r="N5" s="60"/>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78</v>
      </c>
      <c r="C9" s="33">
        <v>9.0986950099995898</v>
      </c>
      <c r="D9" s="33">
        <v>9.9464620199998226</v>
      </c>
      <c r="E9" s="33">
        <v>9.5199099981897533</v>
      </c>
      <c r="F9" s="33">
        <v>10.066007620000001</v>
      </c>
      <c r="G9" s="33"/>
      <c r="H9" s="33"/>
      <c r="I9" s="33"/>
      <c r="J9" s="33"/>
      <c r="K9" s="33"/>
      <c r="L9" s="33"/>
      <c r="M9" s="33"/>
      <c r="N9" s="33"/>
    </row>
    <row r="10" spans="2:15" x14ac:dyDescent="0.25">
      <c r="B10" s="4" t="s">
        <v>79</v>
      </c>
      <c r="C10" s="33">
        <v>25.2607184450302</v>
      </c>
      <c r="D10" s="33">
        <v>25.243144070118269</v>
      </c>
      <c r="E10" s="33">
        <v>27.431581424639997</v>
      </c>
      <c r="F10" s="33">
        <v>22.827205983727996</v>
      </c>
      <c r="G10" s="33"/>
      <c r="H10" s="33"/>
      <c r="I10" s="33"/>
      <c r="J10" s="33"/>
      <c r="K10" s="33"/>
      <c r="L10" s="33"/>
      <c r="M10" s="33"/>
      <c r="N10" s="33"/>
    </row>
    <row r="11" spans="2:15" x14ac:dyDescent="0.25">
      <c r="B11" s="4" t="s">
        <v>145</v>
      </c>
      <c r="C11" s="33">
        <v>0.79709770691244231</v>
      </c>
      <c r="D11" s="33">
        <v>0.71385446570400912</v>
      </c>
      <c r="E11" s="33">
        <v>0.7192806959206951</v>
      </c>
      <c r="F11" s="33">
        <v>0.77064764386643247</v>
      </c>
      <c r="G11" s="33"/>
      <c r="H11" s="33"/>
      <c r="I11" s="33"/>
      <c r="J11" s="33"/>
      <c r="K11" s="33"/>
      <c r="L11" s="33"/>
      <c r="M11" s="33"/>
      <c r="N11" s="33"/>
    </row>
    <row r="12" spans="2:15" x14ac:dyDescent="0.25">
      <c r="B12" s="4" t="s">
        <v>74</v>
      </c>
      <c r="C12" s="33">
        <v>0.14738711999999998</v>
      </c>
      <c r="D12" s="33">
        <v>0</v>
      </c>
      <c r="E12" s="33">
        <v>0</v>
      </c>
      <c r="F12" s="33">
        <v>0</v>
      </c>
      <c r="G12" s="33"/>
      <c r="H12" s="33"/>
      <c r="I12" s="33"/>
      <c r="J12" s="33"/>
      <c r="K12" s="33"/>
      <c r="L12" s="33"/>
      <c r="M12" s="33"/>
      <c r="N12" s="33"/>
    </row>
    <row r="33" spans="2:2" x14ac:dyDescent="0.25">
      <c r="B33" t="s">
        <v>171</v>
      </c>
    </row>
    <row r="34" spans="2:2" x14ac:dyDescent="0.25">
      <c r="B34" t="str">
        <f>"AS Costs By Provider Type - "&amp;TEXT(Main!E1,"mmm yyyy")</f>
        <v>AS Costs By Provider Type - Jul 2018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13"/>
  <sheetViews>
    <sheetView topLeftCell="B1" zoomScale="70" zoomScaleNormal="70" workbookViewId="0">
      <selection activeCell="F15" sqref="F15"/>
    </sheetView>
  </sheetViews>
  <sheetFormatPr defaultRowHeight="15" x14ac:dyDescent="0.25"/>
  <cols>
    <col min="2" max="2" width="47" bestFit="1" customWidth="1"/>
  </cols>
  <sheetData>
    <row r="1" spans="2:14" x14ac:dyDescent="0.25">
      <c r="C1" s="40">
        <f>EOMONTH(C2,0)</f>
        <v>43220</v>
      </c>
      <c r="D1" s="40">
        <f t="shared" ref="D1:N1" si="0">EOMONTH(D2,0)</f>
        <v>43251</v>
      </c>
      <c r="E1" s="40">
        <f t="shared" si="0"/>
        <v>43281</v>
      </c>
      <c r="F1" s="40">
        <f t="shared" si="0"/>
        <v>43312</v>
      </c>
      <c r="G1" s="40">
        <f t="shared" si="0"/>
        <v>43343</v>
      </c>
      <c r="H1" s="40">
        <f t="shared" si="0"/>
        <v>43373</v>
      </c>
      <c r="I1" s="40">
        <f t="shared" si="0"/>
        <v>43404</v>
      </c>
      <c r="J1" s="40">
        <f t="shared" si="0"/>
        <v>43434</v>
      </c>
      <c r="K1" s="40">
        <f t="shared" si="0"/>
        <v>43465</v>
      </c>
      <c r="L1" s="40">
        <f t="shared" si="0"/>
        <v>43496</v>
      </c>
      <c r="M1" s="40">
        <f t="shared" si="0"/>
        <v>43524</v>
      </c>
      <c r="N1" s="40">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5">
        <v>0</v>
      </c>
      <c r="D3" s="45">
        <v>-4.7742323000000003E-2</v>
      </c>
      <c r="E3" s="45">
        <v>-6.2446244000000005E-2</v>
      </c>
      <c r="F3" s="45">
        <v>-5.9283338000000005E-2</v>
      </c>
      <c r="G3" s="45"/>
      <c r="H3" s="45"/>
      <c r="I3" s="45"/>
      <c r="J3" s="45"/>
      <c r="K3" s="45"/>
      <c r="L3" s="45"/>
      <c r="M3" s="45"/>
      <c r="N3" s="45"/>
    </row>
    <row r="4" spans="2:14" x14ac:dyDescent="0.25">
      <c r="B4" s="1" t="s">
        <v>23</v>
      </c>
      <c r="C4" s="45">
        <v>0</v>
      </c>
      <c r="D4" s="45">
        <v>0</v>
      </c>
      <c r="E4" s="45">
        <v>0</v>
      </c>
      <c r="F4" s="45">
        <v>0</v>
      </c>
      <c r="G4" s="45"/>
      <c r="H4" s="45"/>
      <c r="I4" s="45"/>
      <c r="J4" s="45"/>
      <c r="K4" s="45"/>
      <c r="L4" s="45"/>
      <c r="M4" s="45"/>
      <c r="N4" s="45"/>
    </row>
    <row r="5" spans="2:14" x14ac:dyDescent="0.25">
      <c r="B5" s="1" t="s">
        <v>24</v>
      </c>
      <c r="C5" s="45">
        <v>0</v>
      </c>
      <c r="D5" s="45">
        <v>0</v>
      </c>
      <c r="E5" s="45">
        <v>0</v>
      </c>
      <c r="F5" s="45">
        <v>0</v>
      </c>
      <c r="G5" s="45"/>
      <c r="H5" s="45"/>
      <c r="I5" s="45"/>
      <c r="J5" s="45"/>
      <c r="K5" s="45"/>
      <c r="L5" s="45"/>
      <c r="M5" s="45"/>
      <c r="N5" s="45"/>
    </row>
    <row r="6" spans="2:14" x14ac:dyDescent="0.25">
      <c r="B6" s="1" t="s">
        <v>34</v>
      </c>
      <c r="C6" s="45">
        <v>0</v>
      </c>
      <c r="D6" s="45">
        <v>0</v>
      </c>
      <c r="E6" s="45">
        <v>8.8663725995000002E-4</v>
      </c>
      <c r="F6" s="45">
        <v>4.4665580622500001E-3</v>
      </c>
      <c r="G6" s="45"/>
      <c r="H6" s="45"/>
      <c r="I6" s="45"/>
      <c r="J6" s="45"/>
      <c r="K6" s="45"/>
      <c r="L6" s="45"/>
      <c r="M6" s="45"/>
      <c r="N6" s="45"/>
    </row>
    <row r="7" spans="2:14" x14ac:dyDescent="0.25">
      <c r="B7" s="1" t="s">
        <v>26</v>
      </c>
      <c r="C7" s="45">
        <v>0</v>
      </c>
      <c r="D7" s="45">
        <v>0</v>
      </c>
      <c r="E7" s="45">
        <v>0</v>
      </c>
      <c r="F7" s="45">
        <v>0</v>
      </c>
      <c r="G7" s="45"/>
      <c r="H7" s="45"/>
      <c r="I7" s="45"/>
      <c r="J7" s="45"/>
      <c r="K7" s="45"/>
      <c r="L7" s="45"/>
      <c r="M7" s="45"/>
      <c r="N7" s="45"/>
    </row>
    <row r="8" spans="2:14" x14ac:dyDescent="0.25">
      <c r="B8" s="1" t="s">
        <v>27</v>
      </c>
      <c r="C8" s="45">
        <v>0</v>
      </c>
      <c r="D8" s="45">
        <v>-0.10187188744483</v>
      </c>
      <c r="E8" s="45">
        <v>-0.24659000149506999</v>
      </c>
      <c r="F8" s="45">
        <v>-7.7968851847920004E-2</v>
      </c>
      <c r="G8" s="45"/>
      <c r="H8" s="45"/>
      <c r="I8" s="45"/>
      <c r="J8" s="45"/>
      <c r="K8" s="45"/>
      <c r="L8" s="45"/>
      <c r="M8" s="45"/>
      <c r="N8" s="45"/>
    </row>
    <row r="9" spans="2:14" x14ac:dyDescent="0.25">
      <c r="B9" s="1" t="s">
        <v>25</v>
      </c>
      <c r="C9" s="45">
        <v>0</v>
      </c>
      <c r="D9" s="45">
        <v>0</v>
      </c>
      <c r="E9" s="45">
        <v>0</v>
      </c>
      <c r="F9" s="45">
        <v>0</v>
      </c>
      <c r="G9" s="45"/>
      <c r="H9" s="45"/>
      <c r="I9" s="45"/>
      <c r="J9" s="45"/>
      <c r="K9" s="45"/>
      <c r="L9" s="45"/>
      <c r="M9" s="45"/>
      <c r="N9" s="45"/>
    </row>
    <row r="10" spans="2:14" x14ac:dyDescent="0.25">
      <c r="B10" s="1" t="s">
        <v>21</v>
      </c>
      <c r="C10" s="45">
        <v>0.79709770691244231</v>
      </c>
      <c r="D10" s="45">
        <v>0.71385446570400912</v>
      </c>
      <c r="E10" s="45">
        <v>0.7192806959206951</v>
      </c>
      <c r="F10" s="45">
        <v>0.77064764386643247</v>
      </c>
      <c r="G10" s="45"/>
      <c r="H10" s="45"/>
      <c r="I10" s="45"/>
      <c r="J10" s="45"/>
      <c r="K10" s="45"/>
      <c r="L10" s="45"/>
      <c r="M10" s="45"/>
      <c r="N10" s="45"/>
    </row>
    <row r="11" spans="2:14" x14ac:dyDescent="0.25">
      <c r="C11" s="45">
        <f>SUM(C3:C10)</f>
        <v>0.79709770691244231</v>
      </c>
      <c r="D11" s="45">
        <f t="shared" ref="D11:N11" si="1">SUM(D3:D10)</f>
        <v>0.56424025525917909</v>
      </c>
      <c r="E11" s="45">
        <f t="shared" si="1"/>
        <v>0.4111310876855751</v>
      </c>
      <c r="F11" s="45">
        <f t="shared" si="1"/>
        <v>0.63786201208076243</v>
      </c>
      <c r="G11" s="45">
        <f t="shared" si="1"/>
        <v>0</v>
      </c>
      <c r="H11" s="45">
        <f t="shared" si="1"/>
        <v>0</v>
      </c>
      <c r="I11" s="45">
        <f t="shared" si="1"/>
        <v>0</v>
      </c>
      <c r="J11" s="45">
        <f t="shared" si="1"/>
        <v>0</v>
      </c>
      <c r="K11" s="45">
        <f t="shared" si="1"/>
        <v>0</v>
      </c>
      <c r="L11" s="45">
        <f t="shared" si="1"/>
        <v>0</v>
      </c>
      <c r="M11" s="45">
        <f t="shared" si="1"/>
        <v>0</v>
      </c>
      <c r="N11" s="45">
        <f t="shared" si="1"/>
        <v>0</v>
      </c>
    </row>
    <row r="12" spans="2:14" x14ac:dyDescent="0.25">
      <c r="B12" t="s">
        <v>178</v>
      </c>
    </row>
    <row r="13" spans="2:14" x14ac:dyDescent="0.25">
      <c r="B13" s="53">
        <f>HLOOKUP(Main!E2,SO2SO!$C$2:$N$11,10,FALSE)</f>
        <v>0.63786201208076243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D14" sqref="D14"/>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65</v>
      </c>
      <c r="C3" s="45">
        <v>-5.6785957729999996</v>
      </c>
      <c r="D3" s="45">
        <v>-6.7606795479999997</v>
      </c>
      <c r="E3" s="45">
        <v>-2.8102212680000007</v>
      </c>
      <c r="F3" s="45">
        <v>-1.1107513009999979</v>
      </c>
      <c r="G3" s="45"/>
      <c r="H3" s="45"/>
      <c r="I3" s="45"/>
      <c r="J3" s="45"/>
      <c r="K3" s="45"/>
      <c r="L3" s="45"/>
      <c r="M3" s="45"/>
      <c r="N3" s="45"/>
    </row>
    <row r="6" spans="2:14" x14ac:dyDescent="0.25">
      <c r="B6" s="2" t="s">
        <v>129</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65</v>
      </c>
      <c r="C7" s="15">
        <v>-234870.38700000002</v>
      </c>
      <c r="D7" s="15">
        <v>-215243.538</v>
      </c>
      <c r="E7" s="15">
        <v>-117411.79599999999</v>
      </c>
      <c r="F7" s="15">
        <v>-96007.772999999986</v>
      </c>
      <c r="G7" s="15"/>
      <c r="H7" s="15"/>
      <c r="I7" s="15"/>
      <c r="J7" s="15"/>
      <c r="K7" s="15"/>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2018-08-29T15:03:08Z</dcterms:modified>
</cp:coreProperties>
</file>